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36" activeTab="0"/>
  </bookViews>
  <sheets>
    <sheet name="Calculations" sheetId="1" r:id="rId1"/>
    <sheet name="Povcal" sheetId="2" r:id="rId2"/>
    <sheet name="AM-expend" sheetId="3" r:id="rId3"/>
    <sheet name="AM-income" sheetId="4" r:id="rId4"/>
    <sheet name="TU-expend" sheetId="5" r:id="rId5"/>
    <sheet name="TU-income" sheetId="6" r:id="rId6"/>
    <sheet name="Science" sheetId="7" r:id="rId7"/>
    <sheet name="Math" sheetId="8" r:id="rId8"/>
  </sheets>
  <definedNames>
    <definedName name="TABLE" localSheetId="0">'Calculations'!#REF!</definedName>
  </definedNames>
  <calcPr fullCalcOnLoad="1"/>
</workbook>
</file>

<file path=xl/sharedStrings.xml><?xml version="1.0" encoding="utf-8"?>
<sst xmlns="http://schemas.openxmlformats.org/spreadsheetml/2006/main" count="639" uniqueCount="289">
  <si>
    <t>Dram,1999 spring prices</t>
  </si>
  <si>
    <t>Deciles</t>
  </si>
  <si>
    <t xml:space="preserve">First decile 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</si>
  <si>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</si>
  <si>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</si>
  <si>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</si>
  <si>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</si>
  <si>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</si>
  <si>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</si>
  <si>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</si>
  <si>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Nineth decile</t>
  </si>
  <si>
    <t>Tenth decile</t>
  </si>
  <si>
    <t>1998-99</t>
  </si>
  <si>
    <t>Average expenditure</t>
  </si>
  <si>
    <t>% in total</t>
  </si>
  <si>
    <t>Average</t>
  </si>
  <si>
    <t>Source: ARMSTAT</t>
  </si>
  <si>
    <t>First quintile</t>
  </si>
  <si>
    <t>Second quintile</t>
  </si>
  <si>
    <t>Third quintile</t>
  </si>
  <si>
    <t>Fourth quintile</t>
  </si>
  <si>
    <t>Total expenditure</t>
  </si>
  <si>
    <t>ML Lira</t>
  </si>
  <si>
    <t>Number of households</t>
  </si>
  <si>
    <t>Average expenditure per household</t>
  </si>
  <si>
    <t>Population</t>
  </si>
  <si>
    <t>Total</t>
  </si>
  <si>
    <t>%</t>
  </si>
  <si>
    <t>(A+aC)^q</t>
  </si>
  <si>
    <t>adults</t>
  </si>
  <si>
    <t xml:space="preserve">An household of 4 persons (2 adults and 2 childs) is equivalent to </t>
  </si>
  <si>
    <t>mln. TL</t>
  </si>
  <si>
    <t xml:space="preserve">Turkish complete poverty line in 2004 </t>
  </si>
  <si>
    <t># for 4-persons household</t>
  </si>
  <si>
    <t># per equivalent adult</t>
  </si>
  <si>
    <r>
      <t>a</t>
    </r>
    <r>
      <rPr>
        <sz val="10"/>
        <rFont val="Arial"/>
        <family val="0"/>
      </rPr>
      <t xml:space="preserve">-expenditure per child relative to an adult. In 2004 </t>
    </r>
    <r>
      <rPr>
        <i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=0,65, </t>
    </r>
    <r>
      <rPr>
        <i/>
        <sz val="10"/>
        <color indexed="10"/>
        <rFont val="Arial"/>
        <family val="2"/>
      </rPr>
      <t>q</t>
    </r>
    <r>
      <rPr>
        <sz val="10"/>
        <rFont val="Arial"/>
        <family val="0"/>
      </rPr>
      <t>=0,87</t>
    </r>
  </si>
  <si>
    <t>Turkey</t>
  </si>
  <si>
    <t>Armenia</t>
  </si>
  <si>
    <t>PPP conversion rate, national currency per US dollar, 2004</t>
  </si>
  <si>
    <t>Turkish complete poverty line in 2004</t>
  </si>
  <si>
    <t>AMD</t>
  </si>
  <si>
    <t>2. Turkish complete poverty line in AMD</t>
  </si>
  <si>
    <t>3. Turkish food poverty line in AMD</t>
  </si>
  <si>
    <t>4. Armenian complete poverty line in TL</t>
  </si>
  <si>
    <t>PPP USD</t>
  </si>
  <si>
    <t xml:space="preserve">Distribution of monthly expenditures per adult equivalent  </t>
  </si>
  <si>
    <t>National equivalence scale</t>
  </si>
  <si>
    <t>Average annual growth</t>
  </si>
  <si>
    <t>Distribution of consumption expenditures ordered by expenditure</t>
  </si>
  <si>
    <t>Monthly averages</t>
  </si>
  <si>
    <t>Distribution of consumption expenditures ordered by income</t>
  </si>
  <si>
    <t>Yüzdelik dilimler</t>
  </si>
  <si>
    <t>Number of</t>
  </si>
  <si>
    <t xml:space="preserve">Total household </t>
  </si>
  <si>
    <t xml:space="preserve">household </t>
  </si>
  <si>
    <t xml:space="preserve">annual disposable </t>
  </si>
  <si>
    <t>members</t>
  </si>
  <si>
    <t>income</t>
  </si>
  <si>
    <t>(Million TL)</t>
  </si>
  <si>
    <t>The Results of 2004 HBS, TURKSTAT</t>
  </si>
  <si>
    <t>Total household annual disposable income ordered by income, Turkey 2002-2004</t>
  </si>
  <si>
    <t>Dram</t>
  </si>
  <si>
    <t>Total household annual disposable income per household member (mln TL)</t>
  </si>
  <si>
    <t>Per capita monthly average disposable income, Armenia 2002-2004</t>
  </si>
  <si>
    <t>* average income is taken 14450 as reported in "Food Security and Poverty" Armstat 2006 report.</t>
  </si>
  <si>
    <r>
      <t xml:space="preserve">PPP conversion rate, dram per US dollar, 2004: </t>
    </r>
    <r>
      <rPr>
        <b/>
        <sz val="8"/>
        <rFont val="Arial"/>
        <family val="2"/>
      </rPr>
      <t>146,147.</t>
    </r>
    <r>
      <rPr>
        <sz val="8"/>
        <rFont val="Arial"/>
        <family val="2"/>
      </rPr>
      <t xml:space="preserve"> Source: IMF, WEO Database (USD)</t>
    </r>
  </si>
  <si>
    <t xml:space="preserve">Turkey </t>
  </si>
  <si>
    <t>Source: WB, WDI</t>
  </si>
  <si>
    <t>GNI per capita, Atlas method, 2004 (current US$)</t>
  </si>
  <si>
    <t>Ratio</t>
  </si>
  <si>
    <t>PPP conversion rate, PPP dollar per current dollar</t>
  </si>
  <si>
    <t>Source: PPP $ per caita GDP / current $ per capita GDP, IMF WEO Database</t>
  </si>
  <si>
    <t>PPP GNI per capita, Atlas method, 2004 (US$)</t>
  </si>
  <si>
    <r>
      <t>A</t>
    </r>
    <r>
      <rPr>
        <sz val="10"/>
        <rFont val="Arial"/>
        <family val="0"/>
      </rPr>
      <t xml:space="preserve">-number of adults, </t>
    </r>
    <r>
      <rPr>
        <i/>
        <sz val="10"/>
        <color indexed="10"/>
        <rFont val="Arial"/>
        <family val="2"/>
      </rPr>
      <t>C</t>
    </r>
    <r>
      <rPr>
        <sz val="10"/>
        <rFont val="Arial"/>
        <family val="0"/>
      </rPr>
      <t xml:space="preserve">-number of childs(less than 15), </t>
    </r>
    <r>
      <rPr>
        <i/>
        <sz val="10"/>
        <color indexed="10"/>
        <rFont val="Arial"/>
        <family val="2"/>
      </rPr>
      <t>q</t>
    </r>
    <r>
      <rPr>
        <sz val="10"/>
        <rFont val="Arial"/>
        <family val="0"/>
      </rPr>
      <t xml:space="preserve">-economy of scale coefficeint, </t>
    </r>
  </si>
  <si>
    <t>1+0,5A+0,3C</t>
  </si>
  <si>
    <r>
      <t>A</t>
    </r>
    <r>
      <rPr>
        <sz val="10"/>
        <rFont val="Arial"/>
        <family val="0"/>
      </rPr>
      <t xml:space="preserve">-number of adults other than the head of household, </t>
    </r>
    <r>
      <rPr>
        <i/>
        <sz val="10"/>
        <color indexed="10"/>
        <rFont val="Arial"/>
        <family val="2"/>
      </rPr>
      <t>C</t>
    </r>
    <r>
      <rPr>
        <sz val="10"/>
        <rFont val="Arial"/>
        <family val="0"/>
      </rPr>
      <t>-number of childs(less than 15)</t>
    </r>
    <r>
      <rPr>
        <sz val="10"/>
        <rFont val="Arial"/>
        <family val="0"/>
      </rPr>
      <t xml:space="preserve"> </t>
    </r>
  </si>
  <si>
    <t>current US$ (TL/$=1422510,78, source: State Planning Organization, Current Economic Indicators Database)</t>
  </si>
  <si>
    <t xml:space="preserve">Armenian complete poverty line in 2004 </t>
  </si>
  <si>
    <t>current USD (AMD/$=533,5 in 2004, source: EDRC Economic Database)</t>
  </si>
  <si>
    <t>5. Armenian food poverty line in TL</t>
  </si>
  <si>
    <t xml:space="preserve">Turkish food poverty line in 2004 </t>
  </si>
  <si>
    <t xml:space="preserve">Armenian food poverty line in 2004 </t>
  </si>
  <si>
    <t>Mln. TL</t>
  </si>
  <si>
    <t>PPP US$</t>
  </si>
  <si>
    <t>Current US$</t>
  </si>
  <si>
    <t>Turk / Arm</t>
  </si>
  <si>
    <t>Complete</t>
  </si>
  <si>
    <t>Food</t>
  </si>
  <si>
    <t>% of expenditure per equivalent adult in PPP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</si>
  <si>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</si>
  <si>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</si>
  <si>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</si>
  <si>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</si>
  <si>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</si>
  <si>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</si>
  <si>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</si>
  <si>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</si>
  <si>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</si>
  <si>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</si>
  <si>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</si>
  <si>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</si>
  <si>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</si>
  <si>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</si>
  <si>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</si>
  <si>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</si>
  <si>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</si>
  <si>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</si>
  <si>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</si>
  <si>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</si>
  <si>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</si>
  <si>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</si>
  <si>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</si>
  <si>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</si>
  <si>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</si>
  <si>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</si>
  <si>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</si>
  <si>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States</t>
  </si>
  <si>
    <t>Brazil</t>
  </si>
  <si>
    <t>Hong Kong-China</t>
  </si>
  <si>
    <t>Indonesia</t>
  </si>
  <si>
    <t>Latvia</t>
  </si>
  <si>
    <t>Liechtenstein</t>
  </si>
  <si>
    <t>Macao-China</t>
  </si>
  <si>
    <t>Russian Federation</t>
  </si>
  <si>
    <t>Serbia</t>
  </si>
  <si>
    <t>Thailand</t>
  </si>
  <si>
    <t>Tunisia</t>
  </si>
  <si>
    <t>Uruguay</t>
  </si>
  <si>
    <t>PISA</t>
  </si>
  <si>
    <t>Correlation</t>
  </si>
  <si>
    <t>TIMSS*</t>
  </si>
  <si>
    <t>Mean score in student performance on the mathematics, 2003</t>
  </si>
  <si>
    <t>Country</t>
  </si>
  <si>
    <t>PISA**</t>
  </si>
  <si>
    <t>* actural</t>
  </si>
  <si>
    <t>** predicted</t>
  </si>
  <si>
    <t>Armenia*</t>
  </si>
  <si>
    <t>* predicted</t>
  </si>
  <si>
    <t>Average relation PISA / TIMSS</t>
  </si>
  <si>
    <t>OECD average</t>
  </si>
  <si>
    <t>*eighth-grade students</t>
  </si>
  <si>
    <t>*eight-grade students</t>
  </si>
  <si>
    <t>Mean score in student performance on science scale, 2003</t>
  </si>
  <si>
    <t>1999 spring prices</t>
  </si>
  <si>
    <t xml:space="preserve"> </t>
  </si>
  <si>
    <t xml:space="preserve"> DATA FOR SUB-GROUP          1</t>
  </si>
  <si>
    <t xml:space="preserve">   p</t>
  </si>
  <si>
    <t xml:space="preserve"> L</t>
  </si>
  <si>
    <t xml:space="preserve">    9.000001E-01    7.779257E-01</t>
  </si>
  <si>
    <t xml:space="preserve">        1.000000        1.000000</t>
  </si>
  <si>
    <t xml:space="preserve"> *********GENERAL QUADRATIC LORENZ CURVE********</t>
  </si>
  <si>
    <t xml:space="preserve">                 THE ESTIMATED REGRESSION IS:</t>
  </si>
  <si>
    <t xml:space="preserve"> PARAMETER ESTIMATE</t>
  </si>
  <si>
    <t xml:space="preserve">    STANDARD ERROR            T RATIO:</t>
  </si>
  <si>
    <t xml:space="preserve"> INPUT POVERTY LINE Z WHICH IS WITHIN THE RANGE:</t>
  </si>
  <si>
    <t xml:space="preserve"> THE IMPLIED PARAMETERS OF THE GENERAL QUADRATIC LORENZ CURVE ARE:</t>
  </si>
  <si>
    <t xml:space="preserve">      A               B              C </t>
  </si>
  <si>
    <t xml:space="preserve"> INPUT DATA ON MEAN (MU) AND POVERTY LINE (Z):</t>
  </si>
  <si>
    <t xml:space="preserve"> THE ESTIMATED GINI INDEX(%) IS:</t>
  </si>
  <si>
    <t xml:space="preserve"> THE ESTIMATED POVERTY  MEASURES (%) ARE:</t>
  </si>
  <si>
    <t xml:space="preserve"> HEADCOUNT INDEX     POVERTY GAP INDEX     FGT2 INDEX</t>
  </si>
  <si>
    <t xml:space="preserve">        H                 PG                 FGT2</t>
  </si>
  <si>
    <t xml:space="preserve"> WHICH HAVE THE FOLLOWING ELASTICITIES WITH RESPECT TO</t>
  </si>
  <si>
    <t xml:space="preserve">         MEAN CONSUMPTION       GINI INDEX</t>
  </si>
  <si>
    <t xml:space="preserve"> THE OVERALL SUM OF SQUARED ERROR OF FITTED LORENZ CURVE IS:</t>
  </si>
  <si>
    <t xml:space="preserve"> THE SUM OF SQUARED ERROR OF FITTED LORENZ CURVE UP TO THE HEADCOUNT</t>
  </si>
  <si>
    <t xml:space="preserve"> INDEX OF POVERTY IS:</t>
  </si>
  <si>
    <t xml:space="preserve"> ************* BETA LORENZ CURVE ************</t>
  </si>
  <si>
    <t xml:space="preserve"> THE IMPLIED PARAMETERS OF BETA LORENZ CURVE ARE:</t>
  </si>
  <si>
    <t xml:space="preserve">     THETA              GAMMA             DELTA</t>
  </si>
  <si>
    <t xml:space="preserve"> HEADCOUNT INDEX      POVERTY GAP INDEX    FGT2 INDEX</t>
  </si>
  <si>
    <t xml:space="preserve">        H                    PG               FGT2</t>
  </si>
  <si>
    <t xml:space="preserve"> BOTH SPECIFICATIONS ARE VALID LORENZ CURVES.</t>
  </si>
  <si>
    <t xml:space="preserve"> BETA FITS THE DATA BETTER.      </t>
  </si>
  <si>
    <t xml:space="preserve"> *******GENERAL QUADRTIC LORENZ CURVE ******</t>
  </si>
  <si>
    <t>PPP GDP per capita, 2004 (US$)</t>
  </si>
  <si>
    <t xml:space="preserve">Turkish PPP GDP per capita </t>
  </si>
  <si>
    <t>Source:  IMF WEO Database</t>
  </si>
  <si>
    <t>Source: Turkstat</t>
  </si>
  <si>
    <t>Household size</t>
  </si>
  <si>
    <t>Total number of household members</t>
  </si>
  <si>
    <t>1. PPP GNI per capita, Atlas method</t>
  </si>
  <si>
    <t>Source: IMF WEO Database</t>
  </si>
  <si>
    <t>Source: SIS, News Bulletin, Feb. 14, 2006, N.27</t>
  </si>
  <si>
    <t>AMD: based on IMF PPP conversion rate</t>
  </si>
  <si>
    <t>PPP USD: based on IMF PPP conversion rate</t>
  </si>
  <si>
    <t>1 $ per day</t>
  </si>
  <si>
    <t>2 $ per day</t>
  </si>
  <si>
    <t>4 $ per day</t>
  </si>
  <si>
    <t>AMD per month</t>
  </si>
  <si>
    <t xml:space="preserve">Average expenditure per equivalent adult </t>
  </si>
  <si>
    <t>2004, mln. TL</t>
  </si>
  <si>
    <t>Source: SIS, News Bulletin, Aug. 12, 2005, N. 128.</t>
  </si>
  <si>
    <t>Adult equivalence per average household</t>
  </si>
  <si>
    <t>Number</t>
  </si>
  <si>
    <t>Source: SIS, News Bulletin, Feb. 27, 2006, N. 37.</t>
  </si>
  <si>
    <t>7. Adult equivalence by Turkstat scale, Turkey</t>
  </si>
  <si>
    <t>6. World Bank poverty lines, 2004, Armenia</t>
  </si>
  <si>
    <t>8. Adult equivalence by Armstat scale, Armenia</t>
  </si>
  <si>
    <t xml:space="preserve">Source: Armstat, Socio-economic condition in Armenia, Jan-Sep, 2005 </t>
  </si>
  <si>
    <t>equivalent adults</t>
  </si>
  <si>
    <t>Household size, 2004 sample, number</t>
  </si>
  <si>
    <t>equivalent to</t>
  </si>
  <si>
    <t>Armenia-Turkey equivalence coefficient</t>
  </si>
  <si>
    <t>9. Adult equivalence of four person household by Eurostat scale</t>
  </si>
  <si>
    <t>10. CPI</t>
  </si>
  <si>
    <t>1999 Dec</t>
  </si>
  <si>
    <t>2000 Dec</t>
  </si>
  <si>
    <t>2001 Dec</t>
  </si>
  <si>
    <t>2002 Dec</t>
  </si>
  <si>
    <t>2003 Dec</t>
  </si>
  <si>
    <t>2004 Dec</t>
  </si>
  <si>
    <t>1999 Mar.</t>
  </si>
  <si>
    <t>CPI, end of period, % to previous period</t>
  </si>
  <si>
    <t>CPI, 1999 Mar = 100</t>
  </si>
  <si>
    <t>Source: AEPLAC economic trends database</t>
  </si>
  <si>
    <t>2004 December prices</t>
  </si>
  <si>
    <t>11. Monthly expenditures per adult equivalent, AMD, Armenia</t>
  </si>
  <si>
    <t xml:space="preserve">              Armenian equivalence scale</t>
  </si>
  <si>
    <t xml:space="preserve">  Turkish equivalence scale</t>
  </si>
  <si>
    <t xml:space="preserve">Source: Armstat, Social State &amp; Poverty, 2006 </t>
  </si>
  <si>
    <t>Source: Armstat, Social State &amp; Poverty, 2006 &amp; authors calculations.</t>
  </si>
  <si>
    <t>Source: SIS, News Bulletin, Aug. 12, 2005, N. 128 &amp; authors calculations</t>
  </si>
  <si>
    <t xml:space="preserve">13. Poverty lines replative to per capita GDP and household expenditures per equivalent adult </t>
  </si>
  <si>
    <t>source: IMF, WEO Database</t>
  </si>
  <si>
    <t>Poverty lines, PPP $, 2004</t>
  </si>
  <si>
    <t>% of per capita PPP GDP, 2004</t>
  </si>
  <si>
    <t>Expenditures per equivalent adult, PPP $, 2004, Turkstat equivalence scale</t>
  </si>
  <si>
    <t xml:space="preserve"> THE DATA SET IS am04prsc.dat</t>
  </si>
  <si>
    <t xml:space="preserve">       10.000000    14842.000000</t>
  </si>
  <si>
    <t xml:space="preserve">       10.000000    19803.000000</t>
  </si>
  <si>
    <t xml:space="preserve">       10.000000    22802.000000</t>
  </si>
  <si>
    <t xml:space="preserve">       10.000000    25381.000000</t>
  </si>
  <si>
    <t xml:space="preserve">       10.000000    28260.000000</t>
  </si>
  <si>
    <t xml:space="preserve">       10.000000    31467.000000</t>
  </si>
  <si>
    <t xml:space="preserve">       10.000000    35161.000000</t>
  </si>
  <si>
    <t xml:space="preserve">       10.000000    40020.000000</t>
  </si>
  <si>
    <t xml:space="preserve">       10.000000    48194.000000</t>
  </si>
  <si>
    <t xml:space="preserve">       10.000000    75915.000000</t>
  </si>
  <si>
    <t xml:space="preserve"> MU(estimated from your data)=   34184.500000</t>
  </si>
  <si>
    <t xml:space="preserve">    1.000000E-01    4.341734E-02</t>
  </si>
  <si>
    <t xml:space="preserve">    2.000000E-01    1.013471E-01</t>
  </si>
  <si>
    <t xml:space="preserve">    3.000000E-01    1.680498E-01</t>
  </si>
  <si>
    <t xml:space="preserve">    4.000000E-01    2.422969E-01</t>
  </si>
  <si>
    <t xml:space="preserve">    5.000000E-01    3.249660E-01</t>
  </si>
  <si>
    <t xml:space="preserve">    6.000000E-01    4.170165E-01</t>
  </si>
  <si>
    <t xml:space="preserve">    7.000000E-01    5.198730E-01</t>
  </si>
  <si>
    <t xml:space="preserve">    8.000001E-01    6.369436E-01</t>
  </si>
  <si>
    <t xml:space="preserve">      .871446                  .006551               133.034800</t>
  </si>
  <si>
    <t xml:space="preserve">    -1.526000                  .019867               -76.809410</t>
  </si>
  <si>
    <t xml:space="preserve">      .210384                  .015767                13.342950</t>
  </si>
  <si>
    <t xml:space="preserve"> (      12996.,      90245.)</t>
  </si>
  <si>
    <t xml:space="preserve">    8.714458E-01       -1.526000    2.103838E-01</t>
  </si>
  <si>
    <t xml:space="preserve"> MU=    34184.50   Z=    34669.00</t>
  </si>
  <si>
    <t xml:space="preserve">            25.911040</t>
  </si>
  <si>
    <t xml:space="preserve">    63.8159             18.9229              7.4528</t>
  </si>
  <si>
    <t xml:space="preserve"> H           -1.39606             -.01951</t>
  </si>
  <si>
    <t xml:space="preserve"> PG          -2.37242              .95287</t>
  </si>
  <si>
    <t xml:space="preserve"> FGT2        -3.07804             1.92903</t>
  </si>
  <si>
    <t xml:space="preserve"> SSE--Q=   4.476283E-06</t>
  </si>
  <si>
    <t xml:space="preserve"> SSEZ--Q=   3.210146E-06</t>
  </si>
  <si>
    <t xml:space="preserve">     -.732105                  .009079               -80.635320</t>
  </si>
  <si>
    <t xml:space="preserve">      .906184                  .005251               172.566200</t>
  </si>
  <si>
    <t xml:space="preserve">      .551085                  .005251               104.944100</t>
  </si>
  <si>
    <t xml:space="preserve">    4.808954E-01    9.061843E-01    5.510855E-01</t>
  </si>
  <si>
    <t xml:space="preserve"> Z SHOULD BE WITHIN (    5741.000000,   83956.000000)</t>
  </si>
  <si>
    <t xml:space="preserve">            25.986640</t>
  </si>
  <si>
    <t xml:space="preserve">    63.4176             18.9177              7.5331</t>
  </si>
  <si>
    <t xml:space="preserve"> H           -1.37391             -.01920</t>
  </si>
  <si>
    <t xml:space="preserve"> PG          -2.35229              .95315</t>
  </si>
  <si>
    <t xml:space="preserve"> FGT2        -3.02254             1.92981</t>
  </si>
  <si>
    <t xml:space="preserve"> SSE--B=   3.928493E-06</t>
  </si>
  <si>
    <t xml:space="preserve"> SSEZ--B=   1.749236E-06</t>
  </si>
  <si>
    <t xml:space="preserve"> MU=    34184.47   Z=    14702.00</t>
  </si>
  <si>
    <t xml:space="preserve">     3.5087               .2057               .0163</t>
  </si>
  <si>
    <t xml:space="preserve"> H           -8.89893            11.79249</t>
  </si>
  <si>
    <t xml:space="preserve"> PG         -16.05503            23.60061</t>
  </si>
  <si>
    <t xml:space="preserve"> FGT2       -23.30112            35.52798</t>
  </si>
  <si>
    <t xml:space="preserve"> SSEZ--Q=   2.012357E-06</t>
  </si>
  <si>
    <t xml:space="preserve"> Z SHOULD BE WITHIN (    5741.000000,   83955.000000)</t>
  </si>
  <si>
    <t xml:space="preserve">     3.6085               .6180               .2139</t>
  </si>
  <si>
    <t xml:space="preserve"> H           -5.44406             7.21424</t>
  </si>
  <si>
    <t xml:space="preserve"> PG          -4.83909             8.73772</t>
  </si>
  <si>
    <t xml:space="preserve"> FGT2        -3.77915             9.65829</t>
  </si>
  <si>
    <t xml:space="preserve"> SSEZ--B=   6.984762E-08</t>
  </si>
  <si>
    <t>12. Monthly household expenditures per adult equivalent, 2004, Turkstat equivalence scale</t>
  </si>
  <si>
    <t>14. Monthly income per household member, 2004</t>
  </si>
  <si>
    <t>Source: SIS, News Bulletin, Feb. 27, 2006, N. 37 &amp; authors calculations</t>
  </si>
  <si>
    <t>Source: Armstat, Food Security &amp; Poverty, 2006 &amp; authors calculations.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</si>
</sst>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"/>
    <numFmt numFmtId="175" formatCode="#,##0.000"/>
    <numFmt numFmtId="176" formatCode="#,##0.0000"/>
    <numFmt numFmtId="177" formatCode="_-* #,##0.0000_р_._-;\-* #,##0.0000_р_._-;_-* &quot;-&quot;????_р_._-;_-@_-"/>
    <numFmt numFmtId="178" formatCode="0.0%"/>
    <numFmt numFmtId="179" formatCode="\(0.0\)"/>
    <numFmt numFmtId="180" formatCode="0.00000000"/>
    <numFmt numFmtId="181" formatCode="_-* #,##0.000_р_._-;\-* #,##0.000_р_._-;_-* &quot;-&quot;???_р_._-;_-@_-"/>
    <numFmt numFmtId="182" formatCode="_-* #,##0.0_р_._-;\-* #,##0.0_р_._-;_-* &quot;-&quot;?_р_._-;_-@_-"/>
    <numFmt numFmtId="183" formatCode="_-* #,##0.00_р_._-;\-* #,##0.00_р_._-;_-* &quot;-&quot;???_р_._-;_-@_-"/>
    <numFmt numFmtId="184" formatCode="_-* #,##0.0_р_._-;\-* #,##0.0_р_._-;_-* &quot;-&quot;???_р_._-;_-@_-"/>
    <numFmt numFmtId="185" formatCode="_-* #,##0_р_._-;\-* #,##0_р_._-;_-* &quot;-&quot;???_р_._-;_-@_-"/>
  </numFmts>
  <fonts count="21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9"/>
      <name val="Arial"/>
      <family val="2"/>
    </font>
    <font>
      <b/>
      <sz val="9"/>
      <name val="Tahoma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 Tur"/>
      <family val="2"/>
    </font>
    <font>
      <sz val="9"/>
      <name val="Arial"/>
      <family val="2"/>
    </font>
    <font>
      <b/>
      <i/>
      <sz val="10"/>
      <color indexed="5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lightGray">
        <fgColor indexed="42"/>
        <bgColor indexed="26"/>
      </patternFill>
    </fill>
    <fill>
      <patternFill patternType="mediumGray">
        <fgColor indexed="26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 style="thin"/>
      <top style="thin">
        <color indexed="2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2" borderId="0" xfId="0" applyNumberFormat="1" applyFont="1" applyFill="1" applyBorder="1" applyAlignment="1">
      <alignment/>
    </xf>
    <xf numFmtId="173" fontId="4" fillId="2" borderId="0" xfId="19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173" fontId="4" fillId="3" borderId="0" xfId="19" applyNumberFormat="1" applyFont="1" applyFill="1" applyBorder="1" applyAlignment="1">
      <alignment/>
    </xf>
    <xf numFmtId="169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/>
    </xf>
    <xf numFmtId="173" fontId="4" fillId="2" borderId="1" xfId="19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3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9" fontId="11" fillId="0" borderId="0" xfId="0" applyNumberFormat="1" applyFont="1" applyFill="1" applyAlignment="1">
      <alignment/>
    </xf>
    <xf numFmtId="169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right" wrapText="1"/>
    </xf>
    <xf numFmtId="169" fontId="2" fillId="0" borderId="3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 wrapText="1"/>
    </xf>
    <xf numFmtId="169" fontId="0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3" fontId="0" fillId="0" borderId="9" xfId="0" applyNumberFormat="1" applyFont="1" applyFill="1" applyBorder="1" applyAlignment="1">
      <alignment horizontal="right" wrapText="1"/>
    </xf>
    <xf numFmtId="3" fontId="0" fillId="0" borderId="4" xfId="0" applyNumberFormat="1" applyFont="1" applyFill="1" applyBorder="1" applyAlignment="1">
      <alignment horizontal="right"/>
    </xf>
    <xf numFmtId="169" fontId="0" fillId="0" borderId="5" xfId="0" applyNumberFormat="1" applyFont="1" applyFill="1" applyBorder="1" applyAlignment="1">
      <alignment horizontal="right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  <xf numFmtId="1" fontId="2" fillId="0" borderId="6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69" fontId="0" fillId="0" borderId="6" xfId="0" applyNumberFormat="1" applyBorder="1" applyAlignment="1">
      <alignment/>
    </xf>
    <xf numFmtId="0" fontId="13" fillId="0" borderId="0" xfId="0" applyFon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2" fontId="11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7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9" fontId="0" fillId="0" borderId="0" xfId="18" applyAlignment="1">
      <alignment/>
    </xf>
    <xf numFmtId="178" fontId="0" fillId="0" borderId="0" xfId="18" applyNumberForma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0" fontId="18" fillId="6" borderId="13" xfId="0" applyFont="1" applyFill="1" applyBorder="1" applyAlignment="1">
      <alignment horizontal="left"/>
    </xf>
    <xf numFmtId="1" fontId="3" fillId="6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179" fontId="2" fillId="7" borderId="19" xfId="0" applyNumberFormat="1" applyFont="1" applyFill="1" applyBorder="1" applyAlignment="1">
      <alignment vertical="top" wrapText="1"/>
    </xf>
    <xf numFmtId="179" fontId="2" fillId="7" borderId="20" xfId="0" applyNumberFormat="1" applyFont="1" applyFill="1" applyBorder="1" applyAlignment="1">
      <alignment horizontal="center" vertical="top" wrapText="1"/>
    </xf>
    <xf numFmtId="179" fontId="2" fillId="7" borderId="21" xfId="0" applyNumberFormat="1" applyFont="1" applyFill="1" applyBorder="1" applyAlignment="1">
      <alignment horizontal="center" vertical="top" wrapText="1"/>
    </xf>
    <xf numFmtId="179" fontId="2" fillId="7" borderId="22" xfId="0" applyNumberFormat="1" applyFont="1" applyFill="1" applyBorder="1" applyAlignment="1">
      <alignment vertical="top" wrapText="1"/>
    </xf>
    <xf numFmtId="179" fontId="2" fillId="7" borderId="23" xfId="0" applyNumberFormat="1" applyFont="1" applyFill="1" applyBorder="1" applyAlignment="1">
      <alignment horizontal="center" vertical="top" wrapText="1"/>
    </xf>
    <xf numFmtId="1" fontId="0" fillId="8" borderId="21" xfId="0" applyNumberFormat="1" applyFill="1" applyBorder="1" applyAlignment="1">
      <alignment/>
    </xf>
    <xf numFmtId="0" fontId="0" fillId="8" borderId="23" xfId="0" applyFill="1" applyBorder="1" applyAlignment="1">
      <alignment/>
    </xf>
    <xf numFmtId="179" fontId="2" fillId="7" borderId="21" xfId="0" applyNumberFormat="1" applyFont="1" applyFill="1" applyBorder="1" applyAlignment="1">
      <alignment horizontal="left" vertical="top" wrapText="1"/>
    </xf>
    <xf numFmtId="179" fontId="2" fillId="7" borderId="24" xfId="0" applyNumberFormat="1" applyFont="1" applyFill="1" applyBorder="1" applyAlignment="1">
      <alignment horizontal="left" vertical="top" wrapText="1"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3" fillId="6" borderId="13" xfId="0" applyFont="1" applyFill="1" applyBorder="1" applyAlignment="1">
      <alignment horizontal="left"/>
    </xf>
    <xf numFmtId="1" fontId="3" fillId="6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" fillId="7" borderId="24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3" fontId="0" fillId="0" borderId="0" xfId="19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1" fontId="0" fillId="0" borderId="0" xfId="0" applyNumberFormat="1" applyAlignment="1">
      <alignment/>
    </xf>
    <xf numFmtId="168" fontId="2" fillId="0" borderId="0" xfId="0" applyNumberFormat="1" applyFont="1" applyFill="1" applyAlignment="1">
      <alignment/>
    </xf>
    <xf numFmtId="1" fontId="0" fillId="9" borderId="0" xfId="0" applyNumberFormat="1" applyFill="1" applyAlignment="1">
      <alignment/>
    </xf>
    <xf numFmtId="169" fontId="0" fillId="9" borderId="0" xfId="0" applyNumberFormat="1" applyFill="1" applyAlignment="1">
      <alignment/>
    </xf>
    <xf numFmtId="0" fontId="13" fillId="9" borderId="0" xfId="0" applyFont="1" applyFill="1" applyAlignment="1">
      <alignment/>
    </xf>
    <xf numFmtId="0" fontId="0" fillId="0" borderId="0" xfId="0" applyAlignment="1">
      <alignment horizontal="right"/>
    </xf>
    <xf numFmtId="3" fontId="11" fillId="9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2" fontId="0" fillId="9" borderId="0" xfId="0" applyNumberFormat="1" applyFill="1" applyAlignment="1">
      <alignment/>
    </xf>
    <xf numFmtId="0" fontId="20" fillId="9" borderId="0" xfId="0" applyFont="1" applyFill="1" applyBorder="1" applyAlignment="1">
      <alignment horizontal="right" wrapText="1"/>
    </xf>
    <xf numFmtId="169" fontId="11" fillId="9" borderId="0" xfId="0" applyNumberFormat="1" applyFont="1" applyFill="1" applyAlignment="1">
      <alignment/>
    </xf>
    <xf numFmtId="2" fontId="11" fillId="9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169" fontId="0" fillId="9" borderId="0" xfId="0" applyNumberFormat="1" applyFont="1" applyFill="1" applyAlignment="1">
      <alignment/>
    </xf>
    <xf numFmtId="0" fontId="0" fillId="0" borderId="0" xfId="0" applyAlignment="1">
      <alignment horizontal="left"/>
    </xf>
    <xf numFmtId="173" fontId="0" fillId="0" borderId="0" xfId="19" applyNumberFormat="1" applyFont="1" applyFill="1" applyBorder="1" applyAlignment="1">
      <alignment horizontal="left"/>
    </xf>
    <xf numFmtId="185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2" fillId="9" borderId="0" xfId="0" applyFont="1" applyFill="1" applyBorder="1" applyAlignment="1">
      <alignment horizontal="left"/>
    </xf>
    <xf numFmtId="173" fontId="2" fillId="9" borderId="0" xfId="19" applyNumberFormat="1" applyFont="1" applyFill="1" applyBorder="1" applyAlignment="1">
      <alignment horizontal="left"/>
    </xf>
    <xf numFmtId="173" fontId="2" fillId="9" borderId="0" xfId="19" applyNumberFormat="1" applyFont="1" applyFill="1" applyBorder="1" applyAlignment="1">
      <alignment/>
    </xf>
    <xf numFmtId="182" fontId="0" fillId="9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9" borderId="0" xfId="0" applyFont="1" applyFill="1" applyAlignment="1">
      <alignment/>
    </xf>
    <xf numFmtId="0" fontId="17" fillId="9" borderId="0" xfId="0" applyFont="1" applyFill="1" applyAlignment="1">
      <alignment/>
    </xf>
    <xf numFmtId="170" fontId="2" fillId="9" borderId="0" xfId="19" applyNumberFormat="1" applyFont="1" applyFill="1" applyBorder="1" applyAlignment="1">
      <alignment/>
    </xf>
    <xf numFmtId="0" fontId="5" fillId="4" borderId="14" xfId="0" applyFont="1" applyFill="1" applyBorder="1" applyAlignment="1">
      <alignment horizontal="center" wrapText="1"/>
    </xf>
    <xf numFmtId="2" fontId="4" fillId="3" borderId="14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5" fillId="4" borderId="7" xfId="0" applyFont="1" applyFill="1" applyBorder="1" applyAlignment="1">
      <alignment horizontal="center" wrapText="1"/>
    </xf>
    <xf numFmtId="173" fontId="4" fillId="3" borderId="7" xfId="19" applyNumberFormat="1" applyFont="1" applyFill="1" applyBorder="1" applyAlignment="1">
      <alignment/>
    </xf>
    <xf numFmtId="173" fontId="4" fillId="2" borderId="7" xfId="19" applyNumberFormat="1" applyFont="1" applyFill="1" applyBorder="1" applyAlignment="1">
      <alignment/>
    </xf>
    <xf numFmtId="173" fontId="4" fillId="2" borderId="27" xfId="19" applyNumberFormat="1" applyFont="1" applyFill="1" applyBorder="1" applyAlignment="1">
      <alignment/>
    </xf>
    <xf numFmtId="174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74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1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13" fillId="9" borderId="12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/>
    </xf>
    <xf numFmtId="2" fontId="0" fillId="9" borderId="6" xfId="0" applyNumberFormat="1" applyFill="1" applyBorder="1" applyAlignment="1">
      <alignment/>
    </xf>
    <xf numFmtId="1" fontId="0" fillId="9" borderId="8" xfId="0" applyNumberFormat="1" applyFill="1" applyBorder="1" applyAlignment="1">
      <alignment/>
    </xf>
    <xf numFmtId="0" fontId="0" fillId="9" borderId="8" xfId="0" applyFill="1" applyBorder="1" applyAlignment="1">
      <alignment/>
    </xf>
    <xf numFmtId="0" fontId="2" fillId="9" borderId="3" xfId="0" applyFont="1" applyFill="1" applyBorder="1" applyAlignment="1">
      <alignment/>
    </xf>
    <xf numFmtId="0" fontId="2" fillId="9" borderId="3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left" wrapText="1"/>
    </xf>
    <xf numFmtId="0" fontId="0" fillId="9" borderId="3" xfId="0" applyFont="1" applyFill="1" applyBorder="1" applyAlignment="1">
      <alignment/>
    </xf>
    <xf numFmtId="169" fontId="2" fillId="9" borderId="3" xfId="0" applyNumberFormat="1" applyFont="1" applyFill="1" applyBorder="1" applyAlignment="1">
      <alignment/>
    </xf>
    <xf numFmtId="0" fontId="0" fillId="9" borderId="5" xfId="0" applyFont="1" applyFill="1" applyBorder="1" applyAlignment="1">
      <alignment/>
    </xf>
    <xf numFmtId="2" fontId="0" fillId="9" borderId="3" xfId="0" applyNumberFormat="1" applyFont="1" applyFill="1" applyBorder="1" applyAlignment="1">
      <alignment/>
    </xf>
    <xf numFmtId="0" fontId="5" fillId="4" borderId="0" xfId="0" applyFont="1" applyFill="1" applyBorder="1" applyAlignment="1">
      <alignment horizontal="left" vertical="center"/>
    </xf>
    <xf numFmtId="1" fontId="5" fillId="4" borderId="0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1" fontId="5" fillId="4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4</xdr:row>
      <xdr:rowOff>57150</xdr:rowOff>
    </xdr:from>
    <xdr:to>
      <xdr:col>10</xdr:col>
      <xdr:colOff>66675</xdr:colOff>
      <xdr:row>54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09625"/>
          <a:ext cx="3314700" cy="803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3</xdr:row>
      <xdr:rowOff>247650</xdr:rowOff>
    </xdr:from>
    <xdr:to>
      <xdr:col>10</xdr:col>
      <xdr:colOff>28575</xdr:colOff>
      <xdr:row>53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742950"/>
          <a:ext cx="3267075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4"/>
  <sheetViews>
    <sheetView tabSelected="1" workbookViewId="0" topLeftCell="A1">
      <selection activeCell="C4" sqref="C4"/>
    </sheetView>
  </sheetViews>
  <sheetFormatPr defaultColWidth="9.140625" defaultRowHeight="12.75"/>
  <cols>
    <col min="3" max="3" width="9.28125" style="0" bestFit="1" customWidth="1"/>
    <col min="5" max="5" width="11.8515625" style="0" customWidth="1"/>
    <col min="6" max="6" width="11.28125" style="0" customWidth="1"/>
    <col min="7" max="7" width="15.421875" style="0" bestFit="1" customWidth="1"/>
    <col min="8" max="8" width="10.140625" style="0" customWidth="1"/>
    <col min="9" max="9" width="10.00390625" style="0" bestFit="1" customWidth="1"/>
    <col min="10" max="10" width="12.8515625" style="0" bestFit="1" customWidth="1"/>
  </cols>
  <sheetData>
    <row r="2" ht="12.75">
      <c r="A2" s="26" t="s">
        <v>181</v>
      </c>
    </row>
    <row r="3" spans="6:8" ht="12.75">
      <c r="F3" s="135" t="s">
        <v>66</v>
      </c>
      <c r="G3" s="135" t="s">
        <v>37</v>
      </c>
      <c r="H3" s="135" t="s">
        <v>69</v>
      </c>
    </row>
    <row r="4" spans="1:8" ht="12.75">
      <c r="A4" t="s">
        <v>68</v>
      </c>
      <c r="F4">
        <v>3750</v>
      </c>
      <c r="G4">
        <v>1060</v>
      </c>
      <c r="H4" s="74">
        <f>F4/G4</f>
        <v>3.5377358490566038</v>
      </c>
    </row>
    <row r="5" ht="12.75">
      <c r="A5" s="73" t="s">
        <v>67</v>
      </c>
    </row>
    <row r="6" spans="1:7" ht="12.75">
      <c r="A6" t="s">
        <v>70</v>
      </c>
      <c r="F6" s="71">
        <f>7494/4288.518</f>
        <v>1.747456813752443</v>
      </c>
      <c r="G6" s="71">
        <f>3943.237/992.289</f>
        <v>3.973879585483665</v>
      </c>
    </row>
    <row r="7" ht="12.75">
      <c r="A7" s="73" t="s">
        <v>71</v>
      </c>
    </row>
    <row r="8" spans="1:8" ht="12.75">
      <c r="A8" t="s">
        <v>72</v>
      </c>
      <c r="F8" s="75">
        <f>F4*F6</f>
        <v>6552.963051571662</v>
      </c>
      <c r="G8" s="75">
        <f>G4*G6</f>
        <v>4212.312360612685</v>
      </c>
      <c r="H8" s="74">
        <f>F8/G8</f>
        <v>1.555668832360411</v>
      </c>
    </row>
    <row r="10" spans="1:10" ht="12.75">
      <c r="A10" s="118" t="s">
        <v>175</v>
      </c>
      <c r="B10" s="118"/>
      <c r="C10" s="118"/>
      <c r="D10" s="118"/>
      <c r="E10" s="118"/>
      <c r="F10" s="132">
        <v>7494.403</v>
      </c>
      <c r="G10" s="132">
        <v>3943.237</v>
      </c>
      <c r="H10" s="133">
        <f>F10/G10</f>
        <v>1.9005712819188905</v>
      </c>
      <c r="I10" s="18"/>
      <c r="J10" s="18"/>
    </row>
    <row r="11" spans="1:10" ht="12.75">
      <c r="A11" s="134" t="s">
        <v>177</v>
      </c>
      <c r="B11" s="118"/>
      <c r="C11" s="118"/>
      <c r="D11" s="118"/>
      <c r="E11" s="118"/>
      <c r="F11" s="118"/>
      <c r="G11" s="118"/>
      <c r="H11" s="118"/>
      <c r="I11" s="18"/>
      <c r="J11" s="18"/>
    </row>
    <row r="12" spans="1:6" ht="12.75">
      <c r="A12" s="30" t="s">
        <v>176</v>
      </c>
      <c r="F12">
        <v>7561</v>
      </c>
    </row>
    <row r="13" ht="12.75">
      <c r="A13" s="73" t="s">
        <v>178</v>
      </c>
    </row>
    <row r="14" ht="12.75">
      <c r="A14" s="73"/>
    </row>
    <row r="15" spans="1:7" ht="12.75">
      <c r="A15" s="26" t="s">
        <v>41</v>
      </c>
      <c r="G15" s="28"/>
    </row>
    <row r="17" ht="12.75">
      <c r="A17" t="s">
        <v>32</v>
      </c>
    </row>
    <row r="18" spans="3:7" ht="12.75">
      <c r="C18" t="s">
        <v>33</v>
      </c>
      <c r="F18" s="29">
        <v>428.637778</v>
      </c>
      <c r="G18" t="s">
        <v>31</v>
      </c>
    </row>
    <row r="19" spans="3:7" ht="12.75">
      <c r="C19" t="s">
        <v>34</v>
      </c>
      <c r="F19" s="29">
        <v>190.488171</v>
      </c>
      <c r="G19" t="s">
        <v>31</v>
      </c>
    </row>
    <row r="20" spans="3:7" ht="12.75">
      <c r="C20" t="s">
        <v>34</v>
      </c>
      <c r="F20" s="29">
        <f>F19/1.42251078</f>
        <v>133.9098259768548</v>
      </c>
      <c r="G20" t="s">
        <v>76</v>
      </c>
    </row>
    <row r="22" spans="7:8" ht="12.75">
      <c r="G22" s="135" t="s">
        <v>36</v>
      </c>
      <c r="H22" s="135" t="s">
        <v>37</v>
      </c>
    </row>
    <row r="23" spans="1:8" ht="12.75">
      <c r="A23" s="30" t="s">
        <v>38</v>
      </c>
      <c r="G23">
        <v>0.803</v>
      </c>
      <c r="H23">
        <v>146.147</v>
      </c>
    </row>
    <row r="24" ht="12.75">
      <c r="A24" s="73" t="s">
        <v>182</v>
      </c>
    </row>
    <row r="25" spans="1:7" ht="12.75">
      <c r="A25" s="73"/>
      <c r="G25">
        <v>0.780121</v>
      </c>
    </row>
    <row r="26" ht="12.75">
      <c r="A26" s="73" t="s">
        <v>183</v>
      </c>
    </row>
    <row r="27" ht="12.75">
      <c r="A27" s="73"/>
    </row>
    <row r="28" ht="12.75">
      <c r="A28" t="s">
        <v>39</v>
      </c>
    </row>
    <row r="29" spans="3:7" ht="12.75">
      <c r="C29" t="s">
        <v>34</v>
      </c>
      <c r="F29" s="29">
        <f>F19/G23</f>
        <v>237.22063636363634</v>
      </c>
      <c r="G29" t="s">
        <v>185</v>
      </c>
    </row>
    <row r="30" spans="1:10" ht="12.75">
      <c r="A30" s="118"/>
      <c r="B30" s="118"/>
      <c r="C30" s="118" t="s">
        <v>34</v>
      </c>
      <c r="D30" s="118"/>
      <c r="E30" s="118"/>
      <c r="F30" s="136">
        <f>F29*H23</f>
        <v>34669.08434263636</v>
      </c>
      <c r="G30" s="118" t="s">
        <v>184</v>
      </c>
      <c r="H30" s="118"/>
      <c r="I30" s="118"/>
      <c r="J30" s="18"/>
    </row>
    <row r="31" ht="12.75">
      <c r="F31" s="31"/>
    </row>
    <row r="32" ht="12.75">
      <c r="A32" s="26" t="s">
        <v>42</v>
      </c>
    </row>
    <row r="34" ht="12.75">
      <c r="A34" t="s">
        <v>80</v>
      </c>
    </row>
    <row r="35" spans="3:7" ht="12.75">
      <c r="C35" t="s">
        <v>33</v>
      </c>
      <c r="F35" s="29">
        <v>181.775373</v>
      </c>
      <c r="G35" t="s">
        <v>31</v>
      </c>
    </row>
    <row r="36" spans="3:7" ht="12.75">
      <c r="C36" t="s">
        <v>34</v>
      </c>
      <c r="F36" s="29">
        <v>80.78163</v>
      </c>
      <c r="G36" t="s">
        <v>31</v>
      </c>
    </row>
    <row r="37" spans="3:7" ht="12.75">
      <c r="C37" t="s">
        <v>34</v>
      </c>
      <c r="F37" s="29">
        <f>F36/1.42251078</f>
        <v>56.788061739679755</v>
      </c>
      <c r="G37" t="s">
        <v>76</v>
      </c>
    </row>
    <row r="39" spans="7:8" ht="12.75">
      <c r="G39" s="135" t="s">
        <v>36</v>
      </c>
      <c r="H39" s="135" t="s">
        <v>37</v>
      </c>
    </row>
    <row r="40" spans="1:8" ht="12.75">
      <c r="A40" s="30" t="s">
        <v>38</v>
      </c>
      <c r="G40">
        <v>0.803</v>
      </c>
      <c r="H40">
        <v>146.147</v>
      </c>
    </row>
    <row r="41" ht="12.75">
      <c r="A41" s="73" t="s">
        <v>182</v>
      </c>
    </row>
    <row r="42" spans="1:7" ht="12.75">
      <c r="A42" s="73"/>
      <c r="G42">
        <v>0.780121</v>
      </c>
    </row>
    <row r="43" ht="12.75">
      <c r="A43" s="73" t="s">
        <v>183</v>
      </c>
    </row>
    <row r="45" ht="12.75">
      <c r="A45" t="s">
        <v>80</v>
      </c>
    </row>
    <row r="46" spans="3:7" ht="12.75">
      <c r="C46" t="s">
        <v>34</v>
      </c>
      <c r="F46" s="29">
        <f>F36/G40</f>
        <v>100.59978829389789</v>
      </c>
      <c r="G46" t="s">
        <v>185</v>
      </c>
    </row>
    <row r="47" spans="1:10" ht="12.75">
      <c r="A47" s="118"/>
      <c r="B47" s="118"/>
      <c r="C47" s="118" t="s">
        <v>34</v>
      </c>
      <c r="D47" s="118"/>
      <c r="E47" s="118"/>
      <c r="F47" s="136">
        <f>F46*H40</f>
        <v>14702.357259788294</v>
      </c>
      <c r="G47" s="118" t="s">
        <v>184</v>
      </c>
      <c r="H47" s="118"/>
      <c r="I47" s="118"/>
      <c r="J47" s="118"/>
    </row>
    <row r="48" spans="1:9" ht="12.75">
      <c r="A48" s="18"/>
      <c r="B48" s="18"/>
      <c r="C48" s="18"/>
      <c r="D48" s="18"/>
      <c r="E48" s="18"/>
      <c r="F48" s="18"/>
      <c r="G48" s="18"/>
      <c r="H48" s="18"/>
      <c r="I48" s="18"/>
    </row>
    <row r="49" ht="12.75">
      <c r="A49" s="26" t="s">
        <v>43</v>
      </c>
    </row>
    <row r="51" ht="12.75">
      <c r="A51" t="s">
        <v>77</v>
      </c>
    </row>
    <row r="52" spans="3:7" ht="12.75">
      <c r="C52" t="s">
        <v>34</v>
      </c>
      <c r="F52" s="33">
        <v>19373</v>
      </c>
      <c r="G52" t="s">
        <v>40</v>
      </c>
    </row>
    <row r="53" spans="3:7" ht="12.75">
      <c r="C53" t="s">
        <v>34</v>
      </c>
      <c r="F53" s="29">
        <f>F52/533.5</f>
        <v>36.31302717900656</v>
      </c>
      <c r="G53" s="30" t="s">
        <v>78</v>
      </c>
    </row>
    <row r="55" spans="7:8" ht="12.75">
      <c r="G55" s="135" t="s">
        <v>36</v>
      </c>
      <c r="H55" s="135" t="s">
        <v>37</v>
      </c>
    </row>
    <row r="56" spans="1:8" ht="12.75">
      <c r="A56" s="30" t="s">
        <v>38</v>
      </c>
      <c r="G56">
        <v>0.803</v>
      </c>
      <c r="H56">
        <v>146.147</v>
      </c>
    </row>
    <row r="57" ht="12.75">
      <c r="A57" s="73" t="s">
        <v>182</v>
      </c>
    </row>
    <row r="59" ht="12.75">
      <c r="A59" t="s">
        <v>77</v>
      </c>
    </row>
    <row r="60" spans="3:7" ht="12.75">
      <c r="C60" t="s">
        <v>34</v>
      </c>
      <c r="F60" s="29">
        <f>F52/H56</f>
        <v>132.55831457368268</v>
      </c>
      <c r="G60" t="s">
        <v>44</v>
      </c>
    </row>
    <row r="61" spans="3:7" ht="12.75">
      <c r="C61" t="s">
        <v>34</v>
      </c>
      <c r="F61" s="32">
        <f>F60*G56</f>
        <v>106.4443266026672</v>
      </c>
      <c r="G61" t="s">
        <v>31</v>
      </c>
    </row>
    <row r="63" ht="12.75">
      <c r="A63" s="26" t="s">
        <v>79</v>
      </c>
    </row>
    <row r="65" ht="12.75">
      <c r="A65" t="s">
        <v>81</v>
      </c>
    </row>
    <row r="66" spans="3:7" ht="12.75">
      <c r="C66" t="s">
        <v>34</v>
      </c>
      <c r="F66" s="33">
        <v>12467</v>
      </c>
      <c r="G66" t="s">
        <v>40</v>
      </c>
    </row>
    <row r="67" spans="3:7" ht="12.75">
      <c r="C67" t="s">
        <v>34</v>
      </c>
      <c r="F67" s="29">
        <f>F66/533.5</f>
        <v>23.368322399250236</v>
      </c>
      <c r="G67" s="30" t="s">
        <v>78</v>
      </c>
    </row>
    <row r="69" spans="7:8" ht="12.75">
      <c r="G69" s="135" t="s">
        <v>36</v>
      </c>
      <c r="H69" s="135" t="s">
        <v>37</v>
      </c>
    </row>
    <row r="70" spans="1:8" ht="12.75">
      <c r="A70" s="30" t="s">
        <v>38</v>
      </c>
      <c r="G70">
        <v>0.803</v>
      </c>
      <c r="H70">
        <v>146.147</v>
      </c>
    </row>
    <row r="71" ht="12.75">
      <c r="A71" s="73" t="s">
        <v>182</v>
      </c>
    </row>
    <row r="73" ht="12.75">
      <c r="A73" t="s">
        <v>81</v>
      </c>
    </row>
    <row r="74" spans="3:7" ht="12.75">
      <c r="C74" t="s">
        <v>34</v>
      </c>
      <c r="F74" s="29">
        <f>F66/H70</f>
        <v>85.30452215919588</v>
      </c>
      <c r="G74" t="s">
        <v>44</v>
      </c>
    </row>
    <row r="75" spans="3:7" ht="12.75">
      <c r="C75" t="s">
        <v>34</v>
      </c>
      <c r="F75" s="32">
        <f>F74*G70</f>
        <v>68.4995312938343</v>
      </c>
      <c r="G75" t="s">
        <v>31</v>
      </c>
    </row>
    <row r="76" ht="12.75">
      <c r="F76" s="32"/>
    </row>
    <row r="77" ht="12.75">
      <c r="A77" s="26" t="s">
        <v>197</v>
      </c>
    </row>
    <row r="79" spans="1:5" ht="12.75">
      <c r="A79" t="s">
        <v>186</v>
      </c>
      <c r="D79" s="75">
        <f>32.74*H70</f>
        <v>4784.85278</v>
      </c>
      <c r="E79" t="s">
        <v>189</v>
      </c>
    </row>
    <row r="81" spans="1:5" ht="12.75">
      <c r="A81" s="76" t="s">
        <v>187</v>
      </c>
      <c r="D81" s="75">
        <f>32.74*2*H70</f>
        <v>9569.70556</v>
      </c>
      <c r="E81" t="s">
        <v>189</v>
      </c>
    </row>
    <row r="83" spans="1:5" ht="12.75">
      <c r="A83" s="76" t="s">
        <v>188</v>
      </c>
      <c r="D83" s="75">
        <f>32.74*4*H70</f>
        <v>19139.41112</v>
      </c>
      <c r="E83" t="s">
        <v>189</v>
      </c>
    </row>
    <row r="84" spans="1:4" ht="12.75">
      <c r="A84" s="76"/>
      <c r="D84" s="75"/>
    </row>
    <row r="85" spans="1:7" ht="12.75">
      <c r="A85" s="26" t="s">
        <v>196</v>
      </c>
      <c r="G85" s="28"/>
    </row>
    <row r="86" ht="12.75">
      <c r="G86" s="28"/>
    </row>
    <row r="87" spans="2:5" ht="13.5" customHeight="1">
      <c r="B87" s="137"/>
      <c r="E87" t="s">
        <v>191</v>
      </c>
    </row>
    <row r="88" spans="1:5" ht="12.75">
      <c r="A88" s="118" t="s">
        <v>24</v>
      </c>
      <c r="B88" s="140"/>
      <c r="C88" s="118"/>
      <c r="D88" s="118"/>
      <c r="E88" s="132">
        <v>889.4484682064852</v>
      </c>
    </row>
    <row r="89" spans="1:5" ht="12.75">
      <c r="A89" s="118" t="s">
        <v>190</v>
      </c>
      <c r="B89" s="118"/>
      <c r="C89" s="118"/>
      <c r="D89" s="118"/>
      <c r="E89" s="132">
        <v>380.83756493197046</v>
      </c>
    </row>
    <row r="90" spans="1:5" ht="12.75">
      <c r="A90" s="134" t="s">
        <v>192</v>
      </c>
      <c r="B90" s="118"/>
      <c r="C90" s="118"/>
      <c r="D90" s="118"/>
      <c r="E90" s="141"/>
    </row>
    <row r="91" ht="12.75">
      <c r="G91" s="28"/>
    </row>
    <row r="92" spans="5:7" ht="12.75">
      <c r="E92" s="138" t="s">
        <v>194</v>
      </c>
      <c r="G92" s="28"/>
    </row>
    <row r="93" spans="1:7" ht="12.75">
      <c r="A93" s="118" t="s">
        <v>193</v>
      </c>
      <c r="B93" s="118"/>
      <c r="C93" s="118"/>
      <c r="D93" s="118"/>
      <c r="E93" s="142">
        <f>E88/E89</f>
        <v>2.3355061320312998</v>
      </c>
      <c r="G93" s="28"/>
    </row>
    <row r="94" spans="1:7" ht="12.75">
      <c r="A94" s="18"/>
      <c r="B94" s="18"/>
      <c r="C94" s="18"/>
      <c r="D94" s="18"/>
      <c r="E94" s="18"/>
      <c r="G94" s="28"/>
    </row>
    <row r="95" spans="1:8" ht="12.75">
      <c r="A95" s="18" t="s">
        <v>23</v>
      </c>
      <c r="B95" s="18"/>
      <c r="C95" s="18"/>
      <c r="D95" s="18"/>
      <c r="E95" s="138">
        <v>17096537</v>
      </c>
      <c r="F95" s="18"/>
      <c r="G95" s="18"/>
      <c r="H95" s="18"/>
    </row>
    <row r="96" spans="1:8" ht="12.75">
      <c r="A96" s="18" t="s">
        <v>180</v>
      </c>
      <c r="B96" s="18"/>
      <c r="C96" s="18"/>
      <c r="D96" s="18"/>
      <c r="E96" s="138">
        <v>70273639</v>
      </c>
      <c r="F96" s="18"/>
      <c r="G96" s="18"/>
      <c r="H96" s="18"/>
    </row>
    <row r="97" spans="1:8" ht="12.75">
      <c r="A97" s="73" t="s">
        <v>195</v>
      </c>
      <c r="B97" s="18"/>
      <c r="C97" s="18"/>
      <c r="D97" s="18"/>
      <c r="E97" s="18"/>
      <c r="F97" s="18"/>
      <c r="G97" s="18"/>
      <c r="H97" s="18"/>
    </row>
    <row r="98" spans="1:8" ht="12.75">
      <c r="A98" s="118" t="s">
        <v>179</v>
      </c>
      <c r="B98" s="118"/>
      <c r="C98" s="118"/>
      <c r="D98" s="118"/>
      <c r="E98" s="139">
        <f>E96/E95</f>
        <v>4.1104019486519405</v>
      </c>
      <c r="F98" s="18"/>
      <c r="G98" s="18"/>
      <c r="H98" s="18"/>
    </row>
    <row r="99" spans="1:5" ht="12.75">
      <c r="A99" s="18"/>
      <c r="B99" s="18"/>
      <c r="C99" s="18"/>
      <c r="D99" s="18"/>
      <c r="E99" s="18"/>
    </row>
    <row r="100" ht="12.75">
      <c r="A100" s="26" t="s">
        <v>198</v>
      </c>
    </row>
    <row r="102" ht="12.75">
      <c r="B102" s="144" t="s">
        <v>28</v>
      </c>
    </row>
    <row r="104" ht="12.75">
      <c r="A104" s="27" t="s">
        <v>73</v>
      </c>
    </row>
    <row r="105" ht="12.75">
      <c r="A105" s="27" t="s">
        <v>35</v>
      </c>
    </row>
    <row r="107" spans="1:8" ht="12.75">
      <c r="A107" t="s">
        <v>30</v>
      </c>
      <c r="G107" s="143">
        <f>POWER(2+0.65*2,0.87)</f>
        <v>2.825576875789737</v>
      </c>
      <c r="H107" t="s">
        <v>200</v>
      </c>
    </row>
    <row r="108" spans="1:7" ht="12.75">
      <c r="A108" s="73" t="s">
        <v>220</v>
      </c>
      <c r="G108" s="77"/>
    </row>
    <row r="109" spans="1:9" ht="12.75">
      <c r="A109" s="118" t="s">
        <v>201</v>
      </c>
      <c r="B109" s="118"/>
      <c r="C109" s="118"/>
      <c r="D109" s="118"/>
      <c r="E109" s="139">
        <v>4.2</v>
      </c>
      <c r="F109" s="118" t="s">
        <v>202</v>
      </c>
      <c r="G109" s="142">
        <f>E109*G107/4</f>
        <v>2.966855719579224</v>
      </c>
      <c r="H109" s="118" t="s">
        <v>200</v>
      </c>
      <c r="I109" s="118"/>
    </row>
    <row r="110" spans="1:7" ht="12.75">
      <c r="A110" s="73" t="s">
        <v>199</v>
      </c>
      <c r="G110" s="77"/>
    </row>
    <row r="111" spans="1:9" ht="12.75">
      <c r="A111" s="118" t="s">
        <v>203</v>
      </c>
      <c r="B111" s="118"/>
      <c r="C111" s="118"/>
      <c r="D111" s="118"/>
      <c r="E111" s="118"/>
      <c r="F111" s="118"/>
      <c r="G111" s="142">
        <f>G109/E93</f>
        <v>1.2703266666222837</v>
      </c>
      <c r="H111" s="118"/>
      <c r="I111" s="118"/>
    </row>
    <row r="112" ht="12.75">
      <c r="G112" s="28"/>
    </row>
    <row r="113" spans="1:7" ht="12.75">
      <c r="A113" s="26" t="s">
        <v>204</v>
      </c>
      <c r="G113" s="28"/>
    </row>
    <row r="114" ht="12.75">
      <c r="G114" s="28"/>
    </row>
    <row r="115" spans="2:7" ht="12.75">
      <c r="B115" s="27" t="s">
        <v>74</v>
      </c>
      <c r="G115" s="28"/>
    </row>
    <row r="116" ht="12.75">
      <c r="G116" s="28"/>
    </row>
    <row r="117" spans="1:7" ht="12.75">
      <c r="A117" s="27" t="s">
        <v>75</v>
      </c>
      <c r="G117" s="28"/>
    </row>
    <row r="118" ht="12.75">
      <c r="G118" s="28"/>
    </row>
    <row r="119" spans="1:8" ht="12.75">
      <c r="A119" t="s">
        <v>30</v>
      </c>
      <c r="G119" s="147">
        <f>1+0.5*1+0.3*2</f>
        <v>2.1</v>
      </c>
      <c r="H119" t="s">
        <v>29</v>
      </c>
    </row>
    <row r="120" ht="12.75">
      <c r="G120" s="28"/>
    </row>
    <row r="121" spans="1:7" ht="12.75">
      <c r="A121" s="26" t="s">
        <v>205</v>
      </c>
      <c r="G121" s="28"/>
    </row>
    <row r="122" spans="5:11" s="145" customFormat="1" ht="12.75">
      <c r="E122" s="145" t="s">
        <v>212</v>
      </c>
      <c r="F122" s="145" t="s">
        <v>206</v>
      </c>
      <c r="G122" s="145" t="s">
        <v>207</v>
      </c>
      <c r="H122" s="145" t="s">
        <v>208</v>
      </c>
      <c r="I122" s="145" t="s">
        <v>209</v>
      </c>
      <c r="J122" s="146" t="s">
        <v>210</v>
      </c>
      <c r="K122" s="145" t="s">
        <v>211</v>
      </c>
    </row>
    <row r="123" spans="1:11" s="30" customFormat="1" ht="12.75">
      <c r="A123" s="30" t="s">
        <v>213</v>
      </c>
      <c r="F123" s="30">
        <v>98.7</v>
      </c>
      <c r="G123" s="30">
        <v>100.4</v>
      </c>
      <c r="H123" s="30">
        <v>102.9</v>
      </c>
      <c r="I123" s="30">
        <v>102</v>
      </c>
      <c r="J123" s="147">
        <v>108.6</v>
      </c>
      <c r="K123" s="30">
        <v>102</v>
      </c>
    </row>
    <row r="124" spans="1:11" s="30" customFormat="1" ht="12.75">
      <c r="A124" s="148" t="s">
        <v>214</v>
      </c>
      <c r="B124" s="148"/>
      <c r="C124" s="148"/>
      <c r="D124" s="148"/>
      <c r="E124" s="148">
        <v>100</v>
      </c>
      <c r="F124" s="148">
        <f aca="true" t="shared" si="0" ref="F124:K124">E124*F123%</f>
        <v>98.7</v>
      </c>
      <c r="G124" s="149">
        <f t="shared" si="0"/>
        <v>99.0948</v>
      </c>
      <c r="H124" s="149">
        <f t="shared" si="0"/>
        <v>101.96854920000003</v>
      </c>
      <c r="I124" s="149">
        <f t="shared" si="0"/>
        <v>104.00792018400003</v>
      </c>
      <c r="J124" s="149">
        <f t="shared" si="0"/>
        <v>112.95260131982401</v>
      </c>
      <c r="K124" s="142">
        <f t="shared" si="0"/>
        <v>115.2116533462205</v>
      </c>
    </row>
    <row r="125" spans="1:7" ht="12.75">
      <c r="A125" s="73" t="s">
        <v>215</v>
      </c>
      <c r="G125" s="28"/>
    </row>
    <row r="126" ht="12.75">
      <c r="G126" s="28"/>
    </row>
    <row r="127" ht="12.75">
      <c r="A127" s="26" t="s">
        <v>217</v>
      </c>
    </row>
    <row r="128" ht="12.75">
      <c r="A128" s="30"/>
    </row>
    <row r="129" spans="1:8" ht="12.75">
      <c r="A129" s="30"/>
      <c r="C129" s="153" t="s">
        <v>218</v>
      </c>
      <c r="D129" s="154"/>
      <c r="E129" s="154"/>
      <c r="F129" s="155"/>
      <c r="G129" s="153" t="s">
        <v>219</v>
      </c>
      <c r="H129" s="155"/>
    </row>
    <row r="130" spans="1:7" ht="12.75">
      <c r="A130" s="129" t="s">
        <v>1</v>
      </c>
      <c r="C130" s="156">
        <v>2004</v>
      </c>
      <c r="E130" s="156">
        <v>2004</v>
      </c>
      <c r="G130" s="156">
        <v>2004</v>
      </c>
    </row>
    <row r="131" spans="1:7" ht="12.75">
      <c r="A131" s="129"/>
      <c r="C131" s="150" t="s">
        <v>143</v>
      </c>
      <c r="E131" t="s">
        <v>216</v>
      </c>
      <c r="G131" t="s">
        <v>216</v>
      </c>
    </row>
    <row r="132" spans="1:3" ht="12.75">
      <c r="A132" s="129"/>
      <c r="C132" s="150"/>
    </row>
    <row r="133" spans="1:10" ht="12.75">
      <c r="A133" s="127" t="s">
        <v>2</v>
      </c>
      <c r="C133" s="151">
        <v>10141</v>
      </c>
      <c r="E133" s="128">
        <f>C133*K$124%</f>
        <v>11683.61376584022</v>
      </c>
      <c r="F133" s="78"/>
      <c r="G133" s="152">
        <f>E133*G$111</f>
        <v>14842.006129262034</v>
      </c>
      <c r="I133" s="78"/>
      <c r="J133" s="130"/>
    </row>
    <row r="134" spans="1:10" ht="12.75">
      <c r="A134" s="127" t="s">
        <v>3</v>
      </c>
      <c r="C134" s="151">
        <v>13531</v>
      </c>
      <c r="E134" s="128">
        <f aca="true" t="shared" si="1" ref="E134:E142">C134*K$124%</f>
        <v>15589.288814277095</v>
      </c>
      <c r="G134" s="152">
        <f aca="true" t="shared" si="2" ref="G134:G142">E134*G$111</f>
        <v>19803.489294452676</v>
      </c>
      <c r="I134" s="78"/>
      <c r="J134" s="130"/>
    </row>
    <row r="135" spans="1:7" ht="12.75">
      <c r="A135" s="127" t="s">
        <v>4</v>
      </c>
      <c r="C135" s="151">
        <v>15580</v>
      </c>
      <c r="E135" s="128">
        <f t="shared" si="1"/>
        <v>17949.975591341154</v>
      </c>
      <c r="G135" s="152">
        <f t="shared" si="2"/>
        <v>22802.332658899762</v>
      </c>
    </row>
    <row r="136" spans="1:10" ht="12.75">
      <c r="A136" s="127" t="s">
        <v>5</v>
      </c>
      <c r="C136" s="151">
        <v>17342</v>
      </c>
      <c r="E136" s="128">
        <f t="shared" si="1"/>
        <v>19980.00492330156</v>
      </c>
      <c r="G136" s="152">
        <f t="shared" si="2"/>
        <v>25381.133053314486</v>
      </c>
      <c r="I136" s="78"/>
      <c r="J136" s="130"/>
    </row>
    <row r="137" spans="1:10" ht="12.75">
      <c r="A137" s="127" t="s">
        <v>6</v>
      </c>
      <c r="C137" s="151">
        <v>19309</v>
      </c>
      <c r="E137" s="128">
        <f t="shared" si="1"/>
        <v>22246.218144621715</v>
      </c>
      <c r="G137" s="152">
        <f t="shared" si="2"/>
        <v>28259.964140609467</v>
      </c>
      <c r="I137" s="78"/>
      <c r="J137" s="130"/>
    </row>
    <row r="138" spans="1:7" ht="12.75">
      <c r="A138" s="127" t="s">
        <v>7</v>
      </c>
      <c r="C138" s="151">
        <v>21500</v>
      </c>
      <c r="E138" s="128">
        <f t="shared" si="1"/>
        <v>24770.50546943741</v>
      </c>
      <c r="G138" s="152">
        <f t="shared" si="2"/>
        <v>31466.63364353947</v>
      </c>
    </row>
    <row r="139" spans="1:7" ht="12.75">
      <c r="A139" s="127" t="s">
        <v>8</v>
      </c>
      <c r="C139" s="151">
        <v>24024</v>
      </c>
      <c r="E139" s="128">
        <f t="shared" si="1"/>
        <v>27678.44759989601</v>
      </c>
      <c r="G139" s="152">
        <f t="shared" si="2"/>
        <v>35160.67007685545</v>
      </c>
    </row>
    <row r="140" spans="1:7" ht="12.75">
      <c r="A140" s="127" t="s">
        <v>9</v>
      </c>
      <c r="C140" s="151">
        <v>27344</v>
      </c>
      <c r="E140" s="128">
        <f t="shared" si="1"/>
        <v>31503.474490990535</v>
      </c>
      <c r="G140" s="152">
        <f t="shared" si="2"/>
        <v>40019.70373716015</v>
      </c>
    </row>
    <row r="141" spans="1:7" ht="12.75">
      <c r="A141" s="127" t="s">
        <v>10</v>
      </c>
      <c r="C141" s="151">
        <v>32929</v>
      </c>
      <c r="E141" s="128">
        <f t="shared" si="1"/>
        <v>37938.04533037695</v>
      </c>
      <c r="G141" s="152">
        <f t="shared" si="2"/>
        <v>48193.71066270284</v>
      </c>
    </row>
    <row r="142" spans="1:7" ht="12.75">
      <c r="A142" s="127" t="s">
        <v>11</v>
      </c>
      <c r="C142" s="151">
        <v>51870</v>
      </c>
      <c r="E142" s="128">
        <f t="shared" si="1"/>
        <v>59760.284590684576</v>
      </c>
      <c r="G142" s="152">
        <f t="shared" si="2"/>
        <v>75915.08312048337</v>
      </c>
    </row>
    <row r="143" spans="1:8" ht="12.75">
      <c r="A143" s="157" t="s">
        <v>15</v>
      </c>
      <c r="B143" s="118"/>
      <c r="C143" s="158">
        <f>AVERAGE(C133:C142)</f>
        <v>23357</v>
      </c>
      <c r="D143" s="118"/>
      <c r="E143" s="159">
        <f>AVERAGE(E133:E142)</f>
        <v>26909.98587207672</v>
      </c>
      <c r="F143" s="160"/>
      <c r="G143" s="164">
        <f>AVERAGE(G133:G142)</f>
        <v>34184.47265172798</v>
      </c>
      <c r="H143" s="78"/>
    </row>
    <row r="144" spans="1:10" ht="12.75">
      <c r="A144" s="73" t="s">
        <v>221</v>
      </c>
      <c r="J144" s="131"/>
    </row>
    <row r="146" ht="12.75">
      <c r="A146" s="26" t="s">
        <v>285</v>
      </c>
    </row>
    <row r="148" spans="1:6" ht="12.75">
      <c r="A148" s="161" t="s">
        <v>36</v>
      </c>
      <c r="B148" s="125" t="s">
        <v>82</v>
      </c>
      <c r="C148" s="125"/>
      <c r="D148" s="125">
        <v>380.83756493197046</v>
      </c>
      <c r="E148" s="18"/>
      <c r="F148" s="18"/>
    </row>
    <row r="149" spans="1:6" ht="12.75">
      <c r="A149" s="18"/>
      <c r="B149" s="79" t="s">
        <v>83</v>
      </c>
      <c r="C149" s="18"/>
      <c r="D149" s="80">
        <f>D148/$G$70</f>
        <v>474.26844947941527</v>
      </c>
      <c r="E149" s="18"/>
      <c r="F149" s="18"/>
    </row>
    <row r="150" spans="1:6" ht="12.75" customHeight="1">
      <c r="A150" s="18"/>
      <c r="B150" s="79" t="s">
        <v>84</v>
      </c>
      <c r="C150" s="18"/>
      <c r="D150" s="80">
        <f>D148/1.42251078</f>
        <v>267.72209412147333</v>
      </c>
      <c r="E150" s="18"/>
      <c r="F150" s="18"/>
    </row>
    <row r="151" spans="1:6" ht="12.75">
      <c r="A151" s="73" t="s">
        <v>222</v>
      </c>
      <c r="B151" s="79"/>
      <c r="C151" s="18"/>
      <c r="D151" s="80"/>
      <c r="E151" s="18"/>
      <c r="F151" s="18"/>
    </row>
    <row r="152" spans="1:6" ht="12.75">
      <c r="A152" s="161" t="s">
        <v>37</v>
      </c>
      <c r="B152" s="125" t="s">
        <v>40</v>
      </c>
      <c r="C152" s="18"/>
      <c r="D152" s="125">
        <f>G143</f>
        <v>34184.47265172798</v>
      </c>
      <c r="E152" s="18"/>
      <c r="F152" s="18"/>
    </row>
    <row r="153" spans="2:13" s="18" customFormat="1" ht="12.75">
      <c r="B153" s="79" t="s">
        <v>83</v>
      </c>
      <c r="D153" s="80">
        <f>D152/$H$70</f>
        <v>233.9047168380328</v>
      </c>
      <c r="G153"/>
      <c r="H153"/>
      <c r="I153"/>
      <c r="J153"/>
      <c r="K153"/>
      <c r="L153"/>
      <c r="M153"/>
    </row>
    <row r="154" spans="2:13" s="18" customFormat="1" ht="12.75">
      <c r="B154" s="79" t="s">
        <v>84</v>
      </c>
      <c r="D154" s="80">
        <f>D152/533.5</f>
        <v>64.07586251495404</v>
      </c>
      <c r="G154"/>
      <c r="H154"/>
      <c r="I154"/>
      <c r="J154"/>
      <c r="K154"/>
      <c r="L154"/>
      <c r="M154"/>
    </row>
    <row r="155" spans="1:13" s="18" customFormat="1" ht="12.75">
      <c r="A155" s="73" t="s">
        <v>221</v>
      </c>
      <c r="G155"/>
      <c r="H155"/>
      <c r="I155"/>
      <c r="J155"/>
      <c r="K155"/>
      <c r="L155"/>
      <c r="M155"/>
    </row>
    <row r="156" spans="1:13" s="18" customFormat="1" ht="12.75">
      <c r="A156" s="162" t="s">
        <v>85</v>
      </c>
      <c r="B156" s="163" t="s">
        <v>83</v>
      </c>
      <c r="C156" s="118"/>
      <c r="D156" s="133">
        <f>D149/D153</f>
        <v>2.0276138758151774</v>
      </c>
      <c r="G156"/>
      <c r="H156"/>
      <c r="I156"/>
      <c r="J156"/>
      <c r="K156"/>
      <c r="L156"/>
      <c r="M156"/>
    </row>
    <row r="157" spans="1:13" s="18" customFormat="1" ht="12.75">
      <c r="A157" s="118"/>
      <c r="B157" s="163" t="s">
        <v>84</v>
      </c>
      <c r="C157" s="118"/>
      <c r="D157" s="133">
        <f>D150/D154</f>
        <v>4.178205077754393</v>
      </c>
      <c r="G157"/>
      <c r="H157"/>
      <c r="I157"/>
      <c r="J157"/>
      <c r="K157"/>
      <c r="L157"/>
      <c r="M157"/>
    </row>
    <row r="158" spans="8:13" s="18" customFormat="1" ht="12.75">
      <c r="H158"/>
      <c r="I158"/>
      <c r="J158"/>
      <c r="K158"/>
      <c r="L158"/>
      <c r="M158"/>
    </row>
    <row r="159" spans="8:13" s="18" customFormat="1" ht="12.75">
      <c r="H159"/>
      <c r="I159"/>
      <c r="J159"/>
      <c r="K159"/>
      <c r="L159"/>
      <c r="M159"/>
    </row>
    <row r="160" spans="1:13" s="18" customFormat="1" ht="12.75">
      <c r="A160" s="126" t="s">
        <v>223</v>
      </c>
      <c r="H160"/>
      <c r="I160"/>
      <c r="J160"/>
      <c r="K160"/>
      <c r="L160"/>
      <c r="M160"/>
    </row>
    <row r="161" spans="8:13" s="18" customFormat="1" ht="12.75">
      <c r="H161"/>
      <c r="I161"/>
      <c r="J161"/>
      <c r="K161"/>
      <c r="L161"/>
      <c r="M161"/>
    </row>
    <row r="162" spans="1:13" s="18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5:6" ht="12.75">
      <c r="E163" t="s">
        <v>36</v>
      </c>
      <c r="F163" t="s">
        <v>37</v>
      </c>
    </row>
    <row r="164" spans="1:6" ht="12.75">
      <c r="A164" t="s">
        <v>175</v>
      </c>
      <c r="E164" s="75">
        <v>7494.403</v>
      </c>
      <c r="F164" s="75">
        <v>3943.237</v>
      </c>
    </row>
    <row r="165" ht="12.75">
      <c r="A165" s="73" t="s">
        <v>224</v>
      </c>
    </row>
    <row r="167" ht="12.75">
      <c r="A167" t="s">
        <v>227</v>
      </c>
    </row>
    <row r="168" spans="5:6" ht="12.75">
      <c r="E168" s="75">
        <f>D149</f>
        <v>474.26844947941527</v>
      </c>
      <c r="F168" s="75">
        <f>D153</f>
        <v>233.9047168380328</v>
      </c>
    </row>
    <row r="170" ht="12.75">
      <c r="A170" t="s">
        <v>225</v>
      </c>
    </row>
    <row r="171" spans="2:6" ht="12.75">
      <c r="B171" t="s">
        <v>86</v>
      </c>
      <c r="D171" s="74"/>
      <c r="E171" s="74">
        <f>F29</f>
        <v>237.22063636363634</v>
      </c>
      <c r="F171" s="74">
        <f>F60</f>
        <v>132.55831457368268</v>
      </c>
    </row>
    <row r="172" spans="2:6" ht="12.75">
      <c r="B172" t="s">
        <v>87</v>
      </c>
      <c r="D172" s="74"/>
      <c r="E172" s="74">
        <f>F46</f>
        <v>100.59978829389789</v>
      </c>
      <c r="F172" s="74">
        <f>F74</f>
        <v>85.30452215919588</v>
      </c>
    </row>
    <row r="174" ht="12.75">
      <c r="B174" t="s">
        <v>226</v>
      </c>
    </row>
    <row r="175" spans="2:6" ht="12.75">
      <c r="B175" t="s">
        <v>86</v>
      </c>
      <c r="E175" s="82">
        <f>E171/E164</f>
        <v>0.031653039790312365</v>
      </c>
      <c r="F175" s="82">
        <f>F171/F164</f>
        <v>0.033616623746856374</v>
      </c>
    </row>
    <row r="176" spans="2:6" ht="12.75">
      <c r="B176" t="s">
        <v>87</v>
      </c>
      <c r="E176" s="82">
        <f>E172/E164</f>
        <v>0.013423322483978761</v>
      </c>
      <c r="F176" s="82">
        <f>F172/F164</f>
        <v>0.021633120748054423</v>
      </c>
    </row>
    <row r="177" ht="13.5" customHeight="1"/>
    <row r="178" ht="12.75">
      <c r="B178" t="s">
        <v>88</v>
      </c>
    </row>
    <row r="179" spans="2:6" ht="12.75">
      <c r="B179" t="s">
        <v>86</v>
      </c>
      <c r="E179" s="81">
        <f>E171/E168</f>
        <v>0.5001821998153653</v>
      </c>
      <c r="F179" s="81">
        <f>F171/F168</f>
        <v>0.5667192879460939</v>
      </c>
    </row>
    <row r="180" spans="2:6" ht="12.75">
      <c r="B180" t="s">
        <v>87</v>
      </c>
      <c r="E180" s="81">
        <f>E172/E168</f>
        <v>0.21211570873905292</v>
      </c>
      <c r="F180" s="81">
        <f>F172/F168</f>
        <v>0.364697742364319</v>
      </c>
    </row>
    <row r="182" ht="12.75">
      <c r="A182" s="73"/>
    </row>
    <row r="183" ht="12.75">
      <c r="A183" s="26" t="s">
        <v>286</v>
      </c>
    </row>
    <row r="185" spans="1:6" ht="12.75">
      <c r="A185" s="161" t="s">
        <v>36</v>
      </c>
      <c r="B185" s="125" t="s">
        <v>82</v>
      </c>
      <c r="C185" s="125"/>
      <c r="D185" s="125">
        <v>259.4053702823579</v>
      </c>
      <c r="E185" s="18"/>
      <c r="F185" s="18"/>
    </row>
    <row r="186" spans="1:6" ht="12.75">
      <c r="A186" s="18"/>
      <c r="B186" s="79" t="s">
        <v>83</v>
      </c>
      <c r="C186" s="18"/>
      <c r="D186" s="80">
        <f>D185/$G$70</f>
        <v>323.0452930041817</v>
      </c>
      <c r="E186" s="18"/>
      <c r="F186" s="18"/>
    </row>
    <row r="187" spans="1:6" ht="12.75">
      <c r="A187" s="18"/>
      <c r="B187" s="79" t="s">
        <v>84</v>
      </c>
      <c r="C187" s="18"/>
      <c r="D187" s="80">
        <f>D185/1.42251078</f>
        <v>182.35740208756653</v>
      </c>
      <c r="E187" s="18"/>
      <c r="F187" s="18"/>
    </row>
    <row r="188" spans="1:6" ht="12.75">
      <c r="A188" s="73" t="s">
        <v>287</v>
      </c>
      <c r="B188" s="79"/>
      <c r="C188" s="18"/>
      <c r="D188" s="80"/>
      <c r="E188" s="18"/>
      <c r="F188" s="18"/>
    </row>
    <row r="189" spans="1:6" ht="12.75">
      <c r="A189" s="161" t="s">
        <v>37</v>
      </c>
      <c r="B189" s="125" t="s">
        <v>40</v>
      </c>
      <c r="C189" s="18"/>
      <c r="D189" s="125">
        <v>14450</v>
      </c>
      <c r="E189" s="18"/>
      <c r="F189" s="18"/>
    </row>
    <row r="190" spans="1:6" ht="12.75">
      <c r="A190" s="18"/>
      <c r="B190" s="79" t="s">
        <v>83</v>
      </c>
      <c r="C190" s="18"/>
      <c r="D190" s="80">
        <f>D189/$H$70</f>
        <v>98.8730524745633</v>
      </c>
      <c r="E190" s="18"/>
      <c r="F190" s="18"/>
    </row>
    <row r="191" spans="1:6" ht="12.75">
      <c r="A191" s="18"/>
      <c r="B191" s="79" t="s">
        <v>84</v>
      </c>
      <c r="C191" s="18"/>
      <c r="D191" s="80">
        <f>D189/533.5</f>
        <v>27.085285848172447</v>
      </c>
      <c r="E191" s="18"/>
      <c r="F191" s="18"/>
    </row>
    <row r="192" spans="1:6" ht="12.75">
      <c r="A192" s="73" t="s">
        <v>288</v>
      </c>
      <c r="B192" s="18"/>
      <c r="C192" s="18"/>
      <c r="D192" s="18"/>
      <c r="E192" s="18"/>
      <c r="F192" s="18"/>
    </row>
    <row r="193" spans="1:6" ht="12.75">
      <c r="A193" s="162" t="s">
        <v>85</v>
      </c>
      <c r="B193" s="163" t="s">
        <v>83</v>
      </c>
      <c r="C193" s="118"/>
      <c r="D193" s="133">
        <f>D186/D190</f>
        <v>3.2672733866216013</v>
      </c>
      <c r="E193" s="18"/>
      <c r="F193" s="18"/>
    </row>
    <row r="194" spans="1:6" ht="12.75">
      <c r="A194" s="118"/>
      <c r="B194" s="163" t="s">
        <v>84</v>
      </c>
      <c r="C194" s="118"/>
      <c r="D194" s="133">
        <f>D187/D191</f>
        <v>6.732711004409463</v>
      </c>
      <c r="E194" s="18"/>
      <c r="F194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0"/>
  <sheetViews>
    <sheetView workbookViewId="0" topLeftCell="A1">
      <selection activeCell="C9" sqref="C9"/>
    </sheetView>
  </sheetViews>
  <sheetFormatPr defaultColWidth="9.140625" defaultRowHeight="12.75"/>
  <sheetData>
    <row r="1" ht="12.75">
      <c r="A1" t="s">
        <v>228</v>
      </c>
    </row>
    <row r="2" ht="12.75">
      <c r="A2" t="s">
        <v>229</v>
      </c>
    </row>
    <row r="3" ht="12.75">
      <c r="A3" t="s">
        <v>230</v>
      </c>
    </row>
    <row r="4" ht="12.75">
      <c r="A4" t="s">
        <v>231</v>
      </c>
    </row>
    <row r="5" ht="12.75">
      <c r="A5" t="s">
        <v>232</v>
      </c>
    </row>
    <row r="6" ht="12.75">
      <c r="A6" t="s">
        <v>233</v>
      </c>
    </row>
    <row r="7" ht="12.75">
      <c r="A7" t="s">
        <v>234</v>
      </c>
    </row>
    <row r="8" ht="12.75">
      <c r="A8" t="s">
        <v>235</v>
      </c>
    </row>
    <row r="9" ht="12.75">
      <c r="A9" t="s">
        <v>236</v>
      </c>
    </row>
    <row r="10" ht="12.75">
      <c r="A10" t="s">
        <v>237</v>
      </c>
    </row>
    <row r="11" ht="12.75">
      <c r="A11" t="s">
        <v>238</v>
      </c>
    </row>
    <row r="12" ht="12.75">
      <c r="A12" t="s">
        <v>144</v>
      </c>
    </row>
    <row r="13" ht="12.75">
      <c r="A13" t="s">
        <v>145</v>
      </c>
    </row>
    <row r="14" ht="12.75">
      <c r="A14" t="s">
        <v>144</v>
      </c>
    </row>
    <row r="15" ht="12.75">
      <c r="A15" t="s">
        <v>239</v>
      </c>
    </row>
    <row r="16" spans="1:4" ht="12.75">
      <c r="A16" t="s">
        <v>144</v>
      </c>
      <c r="B16" t="s">
        <v>146</v>
      </c>
      <c r="D16" t="s">
        <v>147</v>
      </c>
    </row>
    <row r="17" ht="12.75">
      <c r="A17" t="s">
        <v>240</v>
      </c>
    </row>
    <row r="18" ht="12.75">
      <c r="A18" t="s">
        <v>241</v>
      </c>
    </row>
    <row r="19" ht="12.75">
      <c r="A19" t="s">
        <v>242</v>
      </c>
    </row>
    <row r="20" ht="12.75">
      <c r="A20" t="s">
        <v>243</v>
      </c>
    </row>
    <row r="21" ht="12.75">
      <c r="A21" t="s">
        <v>244</v>
      </c>
    </row>
    <row r="22" ht="12.75">
      <c r="A22" t="s">
        <v>245</v>
      </c>
    </row>
    <row r="23" ht="12.75">
      <c r="A23" t="s">
        <v>246</v>
      </c>
    </row>
    <row r="24" ht="12.75">
      <c r="A24" t="s">
        <v>247</v>
      </c>
    </row>
    <row r="25" ht="12.75">
      <c r="A25" t="s">
        <v>148</v>
      </c>
    </row>
    <row r="26" ht="12.75">
      <c r="A26" t="s">
        <v>149</v>
      </c>
    </row>
    <row r="27" ht="12.75">
      <c r="A27" t="s">
        <v>144</v>
      </c>
    </row>
    <row r="28" ht="12.75">
      <c r="A28" t="s">
        <v>150</v>
      </c>
    </row>
    <row r="29" ht="12.75">
      <c r="A29" t="s">
        <v>144</v>
      </c>
    </row>
    <row r="30" ht="12.75">
      <c r="A30" t="s">
        <v>151</v>
      </c>
    </row>
    <row r="31" spans="1:2" ht="12.75">
      <c r="A31" t="s">
        <v>152</v>
      </c>
      <c r="B31" t="s">
        <v>153</v>
      </c>
    </row>
    <row r="32" ht="12.75">
      <c r="A32" t="s">
        <v>248</v>
      </c>
    </row>
    <row r="33" ht="12.75">
      <c r="A33" t="s">
        <v>249</v>
      </c>
    </row>
    <row r="34" ht="12.75">
      <c r="A34" t="s">
        <v>250</v>
      </c>
    </row>
    <row r="35" ht="12.75">
      <c r="A35" t="s">
        <v>144</v>
      </c>
    </row>
    <row r="36" ht="12.75">
      <c r="A36" t="s">
        <v>144</v>
      </c>
    </row>
    <row r="37" ht="12.75">
      <c r="A37" t="s">
        <v>144</v>
      </c>
    </row>
    <row r="38" ht="12.75">
      <c r="A38" t="s">
        <v>154</v>
      </c>
    </row>
    <row r="39" ht="12.75">
      <c r="A39" t="s">
        <v>144</v>
      </c>
    </row>
    <row r="40" ht="12.75">
      <c r="A40" t="s">
        <v>251</v>
      </c>
    </row>
    <row r="41" ht="12.75">
      <c r="A41" t="s">
        <v>144</v>
      </c>
    </row>
    <row r="42" ht="12.75">
      <c r="A42" t="s">
        <v>155</v>
      </c>
    </row>
    <row r="43" ht="12.75">
      <c r="A43" t="s">
        <v>156</v>
      </c>
    </row>
    <row r="44" ht="12.75">
      <c r="A44" t="s">
        <v>252</v>
      </c>
    </row>
    <row r="45" ht="12.75">
      <c r="A45" t="s">
        <v>144</v>
      </c>
    </row>
    <row r="46" ht="12.75">
      <c r="A46" t="s">
        <v>157</v>
      </c>
    </row>
    <row r="47" ht="12.75">
      <c r="A47" t="s">
        <v>253</v>
      </c>
    </row>
    <row r="48" ht="12.75">
      <c r="A48" t="s">
        <v>144</v>
      </c>
    </row>
    <row r="49" ht="12.75">
      <c r="A49" t="s">
        <v>144</v>
      </c>
    </row>
    <row r="50" ht="12.75">
      <c r="A50" t="s">
        <v>158</v>
      </c>
    </row>
    <row r="51" ht="12.75">
      <c r="A51" t="s">
        <v>254</v>
      </c>
    </row>
    <row r="52" ht="12.75">
      <c r="A52" t="s">
        <v>144</v>
      </c>
    </row>
    <row r="53" ht="12.75">
      <c r="A53" t="s">
        <v>159</v>
      </c>
    </row>
    <row r="54" ht="12.75">
      <c r="A54" t="s">
        <v>160</v>
      </c>
    </row>
    <row r="55" ht="12.75">
      <c r="A55" t="s">
        <v>161</v>
      </c>
    </row>
    <row r="56" ht="12.75">
      <c r="A56" t="s">
        <v>255</v>
      </c>
    </row>
    <row r="57" ht="12.75">
      <c r="A57" t="s">
        <v>144</v>
      </c>
    </row>
    <row r="58" ht="12.75">
      <c r="A58" t="s">
        <v>162</v>
      </c>
    </row>
    <row r="59" ht="12.75">
      <c r="A59" t="s">
        <v>163</v>
      </c>
    </row>
    <row r="60" ht="12.75">
      <c r="A60" t="s">
        <v>256</v>
      </c>
    </row>
    <row r="61" ht="12.75">
      <c r="A61" t="s">
        <v>257</v>
      </c>
    </row>
    <row r="62" ht="12.75">
      <c r="A62" t="s">
        <v>258</v>
      </c>
    </row>
    <row r="63" ht="12.75">
      <c r="A63" t="s">
        <v>144</v>
      </c>
    </row>
    <row r="64" ht="12.75">
      <c r="A64" t="s">
        <v>144</v>
      </c>
    </row>
    <row r="65" ht="12.75">
      <c r="A65" t="s">
        <v>164</v>
      </c>
    </row>
    <row r="66" ht="12.75">
      <c r="A66" t="s">
        <v>259</v>
      </c>
    </row>
    <row r="67" ht="12.75">
      <c r="A67" t="s">
        <v>165</v>
      </c>
    </row>
    <row r="68" ht="12.75">
      <c r="A68" t="s">
        <v>166</v>
      </c>
    </row>
    <row r="69" ht="12.75">
      <c r="A69" t="s">
        <v>260</v>
      </c>
    </row>
    <row r="70" ht="12.75">
      <c r="A70" t="s">
        <v>144</v>
      </c>
    </row>
    <row r="71" ht="12.75">
      <c r="A71" t="s">
        <v>167</v>
      </c>
    </row>
    <row r="72" ht="12.75">
      <c r="A72" t="s">
        <v>144</v>
      </c>
    </row>
    <row r="73" ht="12.75">
      <c r="A73" t="s">
        <v>151</v>
      </c>
    </row>
    <row r="74" spans="1:2" ht="12.75">
      <c r="A74" t="s">
        <v>152</v>
      </c>
      <c r="B74" t="s">
        <v>153</v>
      </c>
    </row>
    <row r="75" ht="12.75">
      <c r="A75" t="s">
        <v>261</v>
      </c>
    </row>
    <row r="76" ht="12.75">
      <c r="A76" t="s">
        <v>262</v>
      </c>
    </row>
    <row r="77" ht="12.75">
      <c r="A77" t="s">
        <v>263</v>
      </c>
    </row>
    <row r="78" ht="12.75">
      <c r="A78" t="s">
        <v>144</v>
      </c>
    </row>
    <row r="79" ht="12.75">
      <c r="A79" t="s">
        <v>144</v>
      </c>
    </row>
    <row r="80" ht="12.75">
      <c r="A80" t="s">
        <v>168</v>
      </c>
    </row>
    <row r="81" ht="12.75">
      <c r="A81" t="s">
        <v>169</v>
      </c>
    </row>
    <row r="82" ht="12.75">
      <c r="A82" t="s">
        <v>264</v>
      </c>
    </row>
    <row r="83" ht="12.75">
      <c r="A83" t="s">
        <v>144</v>
      </c>
    </row>
    <row r="84" ht="12.75">
      <c r="A84" t="s">
        <v>265</v>
      </c>
    </row>
    <row r="85" ht="12.75">
      <c r="A85" t="s">
        <v>144</v>
      </c>
    </row>
    <row r="86" ht="12.75">
      <c r="A86" t="s">
        <v>144</v>
      </c>
    </row>
    <row r="87" ht="12.75">
      <c r="A87" t="s">
        <v>144</v>
      </c>
    </row>
    <row r="88" ht="12.75">
      <c r="A88" t="s">
        <v>158</v>
      </c>
    </row>
    <row r="89" ht="12.75">
      <c r="A89" t="s">
        <v>266</v>
      </c>
    </row>
    <row r="90" ht="12.75">
      <c r="A90" t="s">
        <v>144</v>
      </c>
    </row>
    <row r="91" ht="12.75">
      <c r="A91" t="s">
        <v>159</v>
      </c>
    </row>
    <row r="92" ht="12.75">
      <c r="A92" t="s">
        <v>170</v>
      </c>
    </row>
    <row r="93" ht="12.75">
      <c r="A93" t="s">
        <v>171</v>
      </c>
    </row>
    <row r="94" ht="12.75">
      <c r="A94" t="s">
        <v>267</v>
      </c>
    </row>
    <row r="95" ht="12.75">
      <c r="A95" t="s">
        <v>144</v>
      </c>
    </row>
    <row r="96" ht="12.75">
      <c r="A96" t="s">
        <v>162</v>
      </c>
    </row>
    <row r="97" ht="12.75">
      <c r="A97" t="s">
        <v>163</v>
      </c>
    </row>
    <row r="98" ht="12.75">
      <c r="A98" t="s">
        <v>268</v>
      </c>
    </row>
    <row r="99" ht="12.75">
      <c r="A99" t="s">
        <v>269</v>
      </c>
    </row>
    <row r="100" ht="12.75">
      <c r="A100" t="s">
        <v>270</v>
      </c>
    </row>
    <row r="101" ht="12.75">
      <c r="A101" t="s">
        <v>144</v>
      </c>
    </row>
    <row r="102" ht="12.75">
      <c r="A102" t="s">
        <v>144</v>
      </c>
    </row>
    <row r="103" ht="12.75">
      <c r="A103" t="s">
        <v>164</v>
      </c>
    </row>
    <row r="104" ht="12.75">
      <c r="A104" t="s">
        <v>271</v>
      </c>
    </row>
    <row r="105" ht="12.75">
      <c r="A105" t="s">
        <v>165</v>
      </c>
    </row>
    <row r="106" ht="12.75">
      <c r="A106" t="s">
        <v>166</v>
      </c>
    </row>
    <row r="107" ht="12.75">
      <c r="A107" t="s">
        <v>272</v>
      </c>
    </row>
    <row r="108" ht="12.75">
      <c r="A108" t="s">
        <v>144</v>
      </c>
    </row>
    <row r="109" ht="12.75">
      <c r="A109" t="s">
        <v>172</v>
      </c>
    </row>
    <row r="110" ht="12.75">
      <c r="A110" t="s">
        <v>173</v>
      </c>
    </row>
    <row r="111" ht="12.75">
      <c r="A111" t="s">
        <v>144</v>
      </c>
    </row>
    <row r="112" ht="12.75">
      <c r="A112" t="s">
        <v>154</v>
      </c>
    </row>
    <row r="113" ht="12.75">
      <c r="A113" t="s">
        <v>144</v>
      </c>
    </row>
    <row r="114" ht="12.75">
      <c r="A114" t="s">
        <v>251</v>
      </c>
    </row>
    <row r="115" ht="12.75">
      <c r="A115" t="s">
        <v>144</v>
      </c>
    </row>
    <row r="116" ht="12.75">
      <c r="A116" t="s">
        <v>155</v>
      </c>
    </row>
    <row r="117" ht="12.75">
      <c r="A117" t="s">
        <v>156</v>
      </c>
    </row>
    <row r="118" ht="12.75">
      <c r="A118" t="s">
        <v>252</v>
      </c>
    </row>
    <row r="119" ht="12.75">
      <c r="A119" t="s">
        <v>144</v>
      </c>
    </row>
    <row r="120" ht="12.75">
      <c r="A120" t="s">
        <v>157</v>
      </c>
    </row>
    <row r="121" ht="12.75">
      <c r="A121" t="s">
        <v>273</v>
      </c>
    </row>
    <row r="122" ht="12.75">
      <c r="A122" t="s">
        <v>144</v>
      </c>
    </row>
    <row r="123" ht="12.75">
      <c r="A123" t="s">
        <v>144</v>
      </c>
    </row>
    <row r="124" ht="12.75">
      <c r="A124" t="s">
        <v>174</v>
      </c>
    </row>
    <row r="125" ht="12.75">
      <c r="A125" t="s">
        <v>144</v>
      </c>
    </row>
    <row r="126" ht="12.75">
      <c r="A126" t="s">
        <v>144</v>
      </c>
    </row>
    <row r="127" ht="12.75">
      <c r="A127" t="s">
        <v>158</v>
      </c>
    </row>
    <row r="128" ht="12.75">
      <c r="A128" t="s">
        <v>254</v>
      </c>
    </row>
    <row r="129" ht="12.75">
      <c r="A129" t="s">
        <v>144</v>
      </c>
    </row>
    <row r="130" ht="12.75">
      <c r="A130" t="s">
        <v>159</v>
      </c>
    </row>
    <row r="131" ht="12.75">
      <c r="A131" t="s">
        <v>160</v>
      </c>
    </row>
    <row r="132" ht="12.75">
      <c r="A132" t="s">
        <v>161</v>
      </c>
    </row>
    <row r="133" ht="12.75">
      <c r="A133" t="s">
        <v>274</v>
      </c>
    </row>
    <row r="134" ht="12.75">
      <c r="A134" t="s">
        <v>144</v>
      </c>
    </row>
    <row r="135" ht="12.75">
      <c r="A135" t="s">
        <v>162</v>
      </c>
    </row>
    <row r="136" ht="12.75">
      <c r="A136" t="s">
        <v>163</v>
      </c>
    </row>
    <row r="137" ht="12.75">
      <c r="A137" t="s">
        <v>275</v>
      </c>
    </row>
    <row r="138" ht="12.75">
      <c r="A138" t="s">
        <v>276</v>
      </c>
    </row>
    <row r="139" ht="12.75">
      <c r="A139" t="s">
        <v>277</v>
      </c>
    </row>
    <row r="140" ht="12.75">
      <c r="A140" t="s">
        <v>144</v>
      </c>
    </row>
    <row r="141" ht="12.75">
      <c r="A141" t="s">
        <v>144</v>
      </c>
    </row>
    <row r="142" ht="12.75">
      <c r="A142" t="s">
        <v>164</v>
      </c>
    </row>
    <row r="143" ht="12.75">
      <c r="A143" t="s">
        <v>259</v>
      </c>
    </row>
    <row r="144" ht="12.75">
      <c r="A144" t="s">
        <v>165</v>
      </c>
    </row>
    <row r="145" ht="12.75">
      <c r="A145" t="s">
        <v>166</v>
      </c>
    </row>
    <row r="146" ht="12.75">
      <c r="A146" t="s">
        <v>278</v>
      </c>
    </row>
    <row r="147" ht="12.75">
      <c r="A147" t="s">
        <v>144</v>
      </c>
    </row>
    <row r="148" ht="12.75">
      <c r="A148" t="s">
        <v>167</v>
      </c>
    </row>
    <row r="149" ht="12.75">
      <c r="A149" t="s">
        <v>144</v>
      </c>
    </row>
    <row r="150" ht="12.75">
      <c r="A150" t="s">
        <v>168</v>
      </c>
    </row>
    <row r="151" ht="12.75">
      <c r="A151" t="s">
        <v>169</v>
      </c>
    </row>
    <row r="152" ht="12.75">
      <c r="A152" t="s">
        <v>264</v>
      </c>
    </row>
    <row r="153" ht="12.75">
      <c r="A153" t="s">
        <v>144</v>
      </c>
    </row>
    <row r="154" ht="12.75">
      <c r="A154" t="s">
        <v>279</v>
      </c>
    </row>
    <row r="155" ht="12.75">
      <c r="A155" t="s">
        <v>144</v>
      </c>
    </row>
    <row r="156" ht="12.75">
      <c r="A156" t="s">
        <v>144</v>
      </c>
    </row>
    <row r="157" ht="12.75">
      <c r="A157" t="s">
        <v>144</v>
      </c>
    </row>
    <row r="158" ht="12.75">
      <c r="A158" t="s">
        <v>158</v>
      </c>
    </row>
    <row r="159" ht="12.75">
      <c r="A159" t="s">
        <v>266</v>
      </c>
    </row>
    <row r="160" ht="12.75">
      <c r="A160" t="s">
        <v>144</v>
      </c>
    </row>
    <row r="161" ht="12.75">
      <c r="A161" t="s">
        <v>159</v>
      </c>
    </row>
    <row r="162" ht="12.75">
      <c r="A162" t="s">
        <v>170</v>
      </c>
    </row>
    <row r="163" ht="12.75">
      <c r="A163" t="s">
        <v>171</v>
      </c>
    </row>
    <row r="164" ht="12.75">
      <c r="A164" t="s">
        <v>280</v>
      </c>
    </row>
    <row r="165" ht="12.75">
      <c r="A165" t="s">
        <v>144</v>
      </c>
    </row>
    <row r="166" ht="12.75">
      <c r="A166" t="s">
        <v>162</v>
      </c>
    </row>
    <row r="167" ht="12.75">
      <c r="A167" t="s">
        <v>163</v>
      </c>
    </row>
    <row r="168" ht="12.75">
      <c r="A168" t="s">
        <v>281</v>
      </c>
    </row>
    <row r="169" ht="12.75">
      <c r="A169" t="s">
        <v>282</v>
      </c>
    </row>
    <row r="170" ht="12.75">
      <c r="A170" t="s">
        <v>283</v>
      </c>
    </row>
    <row r="171" ht="12.75">
      <c r="A171" t="s">
        <v>144</v>
      </c>
    </row>
    <row r="172" ht="12.75">
      <c r="A172" t="s">
        <v>144</v>
      </c>
    </row>
    <row r="173" ht="12.75">
      <c r="A173" t="s">
        <v>164</v>
      </c>
    </row>
    <row r="174" ht="12.75">
      <c r="A174" t="s">
        <v>271</v>
      </c>
    </row>
    <row r="175" ht="12.75">
      <c r="A175" t="s">
        <v>165</v>
      </c>
    </row>
    <row r="176" ht="12.75">
      <c r="A176" t="s">
        <v>166</v>
      </c>
    </row>
    <row r="177" ht="12.75">
      <c r="A177" t="s">
        <v>284</v>
      </c>
    </row>
    <row r="178" ht="12.75">
      <c r="A178" t="s">
        <v>144</v>
      </c>
    </row>
    <row r="179" ht="12.75">
      <c r="A179" t="s">
        <v>172</v>
      </c>
    </row>
    <row r="180" ht="12.75">
      <c r="A180" t="s">
        <v>173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D8" sqref="D8:D17"/>
    </sheetView>
  </sheetViews>
  <sheetFormatPr defaultColWidth="9.140625" defaultRowHeight="12.75"/>
  <cols>
    <col min="1" max="1" width="16.00390625" style="0" customWidth="1"/>
    <col min="2" max="2" width="12.140625" style="0" customWidth="1"/>
    <col min="3" max="3" width="12.00390625" style="0" customWidth="1"/>
    <col min="4" max="4" width="9.28125" style="0" customWidth="1"/>
    <col min="5" max="5" width="12.8515625" style="0" customWidth="1"/>
    <col min="6" max="6" width="11.00390625" style="0" customWidth="1"/>
  </cols>
  <sheetData>
    <row r="2" ht="12.75">
      <c r="A2" s="17" t="s">
        <v>45</v>
      </c>
    </row>
    <row r="3" ht="12.75">
      <c r="A3" s="17" t="s">
        <v>46</v>
      </c>
    </row>
    <row r="4" ht="12.75">
      <c r="A4" s="17" t="s">
        <v>0</v>
      </c>
    </row>
    <row r="5" ht="12.75">
      <c r="A5" s="1"/>
    </row>
    <row r="6" spans="1:6" ht="12.75" customHeight="1">
      <c r="A6" s="192" t="s">
        <v>1</v>
      </c>
      <c r="B6" s="193" t="s">
        <v>12</v>
      </c>
      <c r="C6" s="193"/>
      <c r="D6" s="194">
        <v>2004</v>
      </c>
      <c r="E6" s="195"/>
      <c r="F6" s="196" t="s">
        <v>47</v>
      </c>
    </row>
    <row r="7" spans="1:6" ht="28.5" customHeight="1">
      <c r="A7" s="192"/>
      <c r="B7" s="10" t="s">
        <v>14</v>
      </c>
      <c r="C7" s="10" t="s">
        <v>13</v>
      </c>
      <c r="D7" s="165" t="s">
        <v>14</v>
      </c>
      <c r="E7" s="169" t="s">
        <v>13</v>
      </c>
      <c r="F7" s="196"/>
    </row>
    <row r="8" spans="1:6" ht="12.75">
      <c r="A8" s="8" t="s">
        <v>2</v>
      </c>
      <c r="B8" s="5">
        <f>C8/SUM(C$8:C$17)*100</f>
        <v>3.743839332878602</v>
      </c>
      <c r="C8" s="6">
        <v>7300</v>
      </c>
      <c r="D8" s="166">
        <f>E8/SUM(E$8:E$17)*100</f>
        <v>4.3417390932054625</v>
      </c>
      <c r="E8" s="170">
        <v>10141</v>
      </c>
      <c r="F8" s="7">
        <f>(EXP(LN(E8/C8)/5.73)-1)*100</f>
        <v>5.904428907254755</v>
      </c>
    </row>
    <row r="9" spans="1:6" ht="12.75">
      <c r="A9" s="8" t="s">
        <v>3</v>
      </c>
      <c r="B9" s="5">
        <f aca="true" t="shared" si="0" ref="B9:D17">C9/SUM(C$8:C$17)*100</f>
        <v>5.164446860559934</v>
      </c>
      <c r="C9" s="6">
        <v>10070</v>
      </c>
      <c r="D9" s="166">
        <f t="shared" si="0"/>
        <v>5.793124116967077</v>
      </c>
      <c r="E9" s="170">
        <v>13531</v>
      </c>
      <c r="F9" s="7">
        <f aca="true" t="shared" si="1" ref="F9:F18">(EXP(LN(E9/C9)/5.73)-1)*100</f>
        <v>5.290939014131846</v>
      </c>
    </row>
    <row r="10" spans="1:6" ht="12.75">
      <c r="A10" s="9" t="s">
        <v>4</v>
      </c>
      <c r="B10" s="2">
        <f t="shared" si="0"/>
        <v>6.08963674501377</v>
      </c>
      <c r="C10" s="3">
        <v>11874</v>
      </c>
      <c r="D10" s="167">
        <f t="shared" si="0"/>
        <v>6.670377188851308</v>
      </c>
      <c r="E10" s="171">
        <v>15580</v>
      </c>
      <c r="F10" s="4">
        <f t="shared" si="1"/>
        <v>4.854772900800297</v>
      </c>
    </row>
    <row r="11" spans="1:6" ht="12.75">
      <c r="A11" s="9" t="s">
        <v>5</v>
      </c>
      <c r="B11" s="2">
        <f t="shared" si="0"/>
        <v>6.985081056685831</v>
      </c>
      <c r="C11" s="3">
        <v>13620</v>
      </c>
      <c r="D11" s="167">
        <f t="shared" si="0"/>
        <v>7.424754891467226</v>
      </c>
      <c r="E11" s="171">
        <v>17342</v>
      </c>
      <c r="F11" s="4">
        <f t="shared" si="1"/>
        <v>4.306412292559703</v>
      </c>
    </row>
    <row r="12" spans="1:6" ht="12.75">
      <c r="A12" s="8" t="s">
        <v>6</v>
      </c>
      <c r="B12" s="5">
        <f t="shared" si="0"/>
        <v>7.907706667623995</v>
      </c>
      <c r="C12" s="6">
        <v>15419</v>
      </c>
      <c r="D12" s="166">
        <f t="shared" si="0"/>
        <v>8.266900714989083</v>
      </c>
      <c r="E12" s="170">
        <v>19309</v>
      </c>
      <c r="F12" s="7">
        <f t="shared" si="1"/>
        <v>4.004285449181255</v>
      </c>
    </row>
    <row r="13" spans="1:6" ht="12.75">
      <c r="A13" s="8" t="s">
        <v>7</v>
      </c>
      <c r="B13" s="5">
        <f t="shared" si="0"/>
        <v>8.948288860282993</v>
      </c>
      <c r="C13" s="6">
        <v>17448</v>
      </c>
      <c r="D13" s="166">
        <f t="shared" si="0"/>
        <v>9.204949265744744</v>
      </c>
      <c r="E13" s="170">
        <v>21500</v>
      </c>
      <c r="F13" s="7">
        <f t="shared" si="1"/>
        <v>3.7116909182513425</v>
      </c>
    </row>
    <row r="14" spans="1:6" ht="12.75">
      <c r="A14" s="9" t="s">
        <v>8</v>
      </c>
      <c r="B14" s="2">
        <f t="shared" si="0"/>
        <v>10.103750506444019</v>
      </c>
      <c r="C14" s="3">
        <v>19701</v>
      </c>
      <c r="D14" s="167">
        <f t="shared" si="0"/>
        <v>10.285567495825662</v>
      </c>
      <c r="E14" s="171">
        <v>24024</v>
      </c>
      <c r="F14" s="4">
        <f t="shared" si="1"/>
        <v>3.522829590820842</v>
      </c>
    </row>
    <row r="15" spans="1:6" ht="12.75">
      <c r="A15" s="9" t="s">
        <v>9</v>
      </c>
      <c r="B15" s="2">
        <f t="shared" si="0"/>
        <v>11.704370034925406</v>
      </c>
      <c r="C15" s="3">
        <v>22822</v>
      </c>
      <c r="D15" s="167">
        <f t="shared" si="0"/>
        <v>11.70698291732671</v>
      </c>
      <c r="E15" s="171">
        <v>27344</v>
      </c>
      <c r="F15" s="4">
        <f t="shared" si="1"/>
        <v>3.2051291694499273</v>
      </c>
    </row>
    <row r="16" spans="1:6" ht="12.75">
      <c r="A16" s="8" t="s">
        <v>10</v>
      </c>
      <c r="B16" s="5">
        <f t="shared" si="0"/>
        <v>14.412242867473216</v>
      </c>
      <c r="C16" s="6">
        <v>28102</v>
      </c>
      <c r="D16" s="166">
        <f t="shared" si="0"/>
        <v>14.09812904054459</v>
      </c>
      <c r="E16" s="170">
        <v>32929</v>
      </c>
      <c r="F16" s="7">
        <f t="shared" si="1"/>
        <v>2.804988938637476</v>
      </c>
    </row>
    <row r="17" spans="1:6" ht="12.75">
      <c r="A17" s="8" t="s">
        <v>11</v>
      </c>
      <c r="B17" s="5">
        <f t="shared" si="0"/>
        <v>24.940637068112235</v>
      </c>
      <c r="C17" s="6">
        <v>48631</v>
      </c>
      <c r="D17" s="166">
        <f t="shared" si="0"/>
        <v>22.207475275078135</v>
      </c>
      <c r="E17" s="170">
        <v>51870</v>
      </c>
      <c r="F17" s="7">
        <f t="shared" si="1"/>
        <v>1.1316502112384441</v>
      </c>
    </row>
    <row r="18" spans="1:6" ht="13.5" thickBot="1">
      <c r="A18" s="11" t="s">
        <v>15</v>
      </c>
      <c r="B18" s="12"/>
      <c r="C18" s="13">
        <f>AVERAGE(C8:C17)</f>
        <v>19498.7</v>
      </c>
      <c r="D18" s="168"/>
      <c r="E18" s="172">
        <f>AVERAGE(E8:E17)</f>
        <v>23357</v>
      </c>
      <c r="F18" s="15">
        <f t="shared" si="1"/>
        <v>3.201108840868172</v>
      </c>
    </row>
    <row r="19" ht="13.5" thickTop="1">
      <c r="A19" s="16" t="s">
        <v>16</v>
      </c>
    </row>
  </sheetData>
  <mergeCells count="4">
    <mergeCell ref="A6:A7"/>
    <mergeCell ref="B6:C6"/>
    <mergeCell ref="D6:E6"/>
    <mergeCell ref="F6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G7" sqref="G7"/>
    </sheetView>
  </sheetViews>
  <sheetFormatPr defaultColWidth="9.140625" defaultRowHeight="12.75"/>
  <cols>
    <col min="1" max="1" width="15.00390625" style="0" customWidth="1"/>
    <col min="4" max="4" width="9.57421875" style="0" bestFit="1" customWidth="1"/>
    <col min="6" max="6" width="20.140625" style="0" customWidth="1"/>
  </cols>
  <sheetData>
    <row r="1" ht="12.75">
      <c r="A1" s="23" t="s">
        <v>63</v>
      </c>
    </row>
    <row r="2" ht="12.75">
      <c r="A2" s="23" t="s">
        <v>61</v>
      </c>
    </row>
    <row r="3" ht="13.5" thickBot="1">
      <c r="C3" s="62"/>
    </row>
    <row r="4" spans="1:6" ht="47.25" customHeight="1">
      <c r="A4" s="66" t="s">
        <v>1</v>
      </c>
      <c r="B4" s="70">
        <v>2002</v>
      </c>
      <c r="C4" s="70">
        <v>2003</v>
      </c>
      <c r="D4" s="180">
        <v>2004</v>
      </c>
      <c r="E4" s="180" t="s">
        <v>27</v>
      </c>
      <c r="F4" s="70" t="s">
        <v>65</v>
      </c>
    </row>
    <row r="5" spans="1:6" ht="12.75">
      <c r="A5" s="47"/>
      <c r="B5" s="63"/>
      <c r="C5" s="64"/>
      <c r="D5" s="181"/>
      <c r="E5" s="181"/>
      <c r="F5" s="64"/>
    </row>
    <row r="6" spans="1:6" ht="12.75">
      <c r="A6" s="50" t="s">
        <v>2</v>
      </c>
      <c r="B6" s="63">
        <v>1378</v>
      </c>
      <c r="C6" s="64">
        <v>1978</v>
      </c>
      <c r="D6" s="181">
        <v>2260</v>
      </c>
      <c r="E6" s="182">
        <f>(10*D6)/(100*D$17)*100</f>
        <v>1.5510685901747354</v>
      </c>
      <c r="F6" s="72">
        <f>D6/146.147</f>
        <v>15.463882255537234</v>
      </c>
    </row>
    <row r="7" spans="1:6" ht="12.75">
      <c r="A7" s="50" t="s">
        <v>3</v>
      </c>
      <c r="B7" s="63">
        <v>3015</v>
      </c>
      <c r="C7" s="64">
        <v>4193</v>
      </c>
      <c r="D7" s="181">
        <v>4395</v>
      </c>
      <c r="E7" s="182">
        <f aca="true" t="shared" si="0" ref="E7:E15">(10*D7)/(100*D$17)*100</f>
        <v>3.0163479884150273</v>
      </c>
      <c r="F7" s="72">
        <f aca="true" t="shared" si="1" ref="F7:F15">D7/146.147</f>
        <v>30.072461288976168</v>
      </c>
    </row>
    <row r="8" spans="1:6" ht="12.75">
      <c r="A8" s="50" t="s">
        <v>4</v>
      </c>
      <c r="B8" s="63">
        <v>4462</v>
      </c>
      <c r="C8" s="64">
        <v>5992</v>
      </c>
      <c r="D8" s="181">
        <v>6189</v>
      </c>
      <c r="E8" s="182">
        <f t="shared" si="0"/>
        <v>4.247594471058158</v>
      </c>
      <c r="F8" s="72">
        <f t="shared" si="1"/>
        <v>42.347773132530946</v>
      </c>
    </row>
    <row r="9" spans="1:6" ht="12.75">
      <c r="A9" s="50" t="s">
        <v>5</v>
      </c>
      <c r="B9" s="63">
        <v>5754</v>
      </c>
      <c r="C9" s="64">
        <v>7657</v>
      </c>
      <c r="D9" s="181">
        <v>8017</v>
      </c>
      <c r="E9" s="182">
        <f t="shared" si="0"/>
        <v>5.502175613907458</v>
      </c>
      <c r="F9" s="72">
        <f t="shared" si="1"/>
        <v>54.85572745249646</v>
      </c>
    </row>
    <row r="10" spans="1:6" ht="12.75">
      <c r="A10" s="50" t="s">
        <v>6</v>
      </c>
      <c r="B10" s="63">
        <v>7327</v>
      </c>
      <c r="C10" s="64">
        <v>9497</v>
      </c>
      <c r="D10" s="181">
        <v>9869</v>
      </c>
      <c r="E10" s="182">
        <f t="shared" si="0"/>
        <v>6.773228281608169</v>
      </c>
      <c r="F10" s="72">
        <f t="shared" si="1"/>
        <v>67.52789999110485</v>
      </c>
    </row>
    <row r="11" spans="1:6" ht="12.75">
      <c r="A11" s="50" t="s">
        <v>7</v>
      </c>
      <c r="B11" s="63">
        <v>9184</v>
      </c>
      <c r="C11" s="64">
        <v>11472</v>
      </c>
      <c r="D11" s="181">
        <v>11903</v>
      </c>
      <c r="E11" s="182">
        <f t="shared" si="0"/>
        <v>8.169190012765432</v>
      </c>
      <c r="F11" s="72">
        <f t="shared" si="1"/>
        <v>81.44539402108836</v>
      </c>
    </row>
    <row r="12" spans="1:6" ht="12.75">
      <c r="A12" s="50" t="s">
        <v>8</v>
      </c>
      <c r="B12" s="63">
        <v>11306</v>
      </c>
      <c r="C12" s="64">
        <v>14021</v>
      </c>
      <c r="D12" s="181">
        <v>14337</v>
      </c>
      <c r="E12" s="182">
        <f t="shared" si="0"/>
        <v>9.839677158112913</v>
      </c>
      <c r="F12" s="72">
        <f t="shared" si="1"/>
        <v>98.09985836178643</v>
      </c>
    </row>
    <row r="13" spans="1:6" ht="12.75">
      <c r="A13" s="50" t="s">
        <v>9</v>
      </c>
      <c r="B13" s="63">
        <v>14607</v>
      </c>
      <c r="C13" s="64">
        <v>17671</v>
      </c>
      <c r="D13" s="181">
        <v>17882</v>
      </c>
      <c r="E13" s="182">
        <f t="shared" si="0"/>
        <v>12.272658641373726</v>
      </c>
      <c r="F13" s="72">
        <f t="shared" si="1"/>
        <v>122.35625774049417</v>
      </c>
    </row>
    <row r="14" spans="1:6" ht="12.75">
      <c r="A14" s="50" t="s">
        <v>10</v>
      </c>
      <c r="B14" s="63">
        <v>20351</v>
      </c>
      <c r="C14" s="64">
        <v>24057</v>
      </c>
      <c r="D14" s="181">
        <v>23793</v>
      </c>
      <c r="E14" s="182">
        <f t="shared" si="0"/>
        <v>16.32945794956968</v>
      </c>
      <c r="F14" s="72">
        <f t="shared" si="1"/>
        <v>162.8018365070785</v>
      </c>
    </row>
    <row r="15" spans="1:6" ht="12.75">
      <c r="A15" s="50" t="s">
        <v>11</v>
      </c>
      <c r="B15" s="63">
        <v>43899</v>
      </c>
      <c r="C15" s="64">
        <v>57986</v>
      </c>
      <c r="D15" s="181">
        <v>47061</v>
      </c>
      <c r="E15" s="182">
        <f t="shared" si="0"/>
        <v>32.2986012930147</v>
      </c>
      <c r="F15" s="72">
        <f t="shared" si="1"/>
        <v>322.01139948134414</v>
      </c>
    </row>
    <row r="16" spans="1:6" ht="12.75">
      <c r="A16" s="50"/>
      <c r="B16" s="63"/>
      <c r="C16" s="64"/>
      <c r="D16" s="181"/>
      <c r="E16" s="182"/>
      <c r="F16" s="72"/>
    </row>
    <row r="17" spans="1:6" ht="13.5" thickBot="1">
      <c r="A17" s="53" t="s">
        <v>15</v>
      </c>
      <c r="B17" s="68">
        <f>AVERAGE(B6:B16)</f>
        <v>12128.3</v>
      </c>
      <c r="C17" s="68">
        <f>AVERAGE(C6:C15)</f>
        <v>15452.4</v>
      </c>
      <c r="D17" s="183">
        <f>AVERAGE(D6:D16)</f>
        <v>14570.6</v>
      </c>
      <c r="E17" s="184"/>
      <c r="F17" s="65"/>
    </row>
    <row r="19" ht="12.75">
      <c r="A19" t="s">
        <v>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E1">
      <selection activeCell="H8" sqref="H8"/>
    </sheetView>
  </sheetViews>
  <sheetFormatPr defaultColWidth="9.140625" defaultRowHeight="12.75"/>
  <cols>
    <col min="1" max="1" width="19.421875" style="0" customWidth="1"/>
    <col min="2" max="2" width="13.7109375" style="0" customWidth="1"/>
    <col min="3" max="3" width="14.00390625" style="0" customWidth="1"/>
    <col min="4" max="4" width="13.7109375" style="0" customWidth="1"/>
    <col min="5" max="5" width="15.57421875" style="0" customWidth="1"/>
    <col min="7" max="7" width="19.421875" style="0" customWidth="1"/>
    <col min="8" max="8" width="13.7109375" style="0" customWidth="1"/>
    <col min="9" max="9" width="15.57421875" style="0" customWidth="1"/>
    <col min="10" max="10" width="12.8515625" style="0" customWidth="1"/>
    <col min="11" max="11" width="13.7109375" style="0" customWidth="1"/>
    <col min="12" max="12" width="14.00390625" style="0" customWidth="1"/>
    <col min="13" max="13" width="15.7109375" style="0" bestFit="1" customWidth="1"/>
  </cols>
  <sheetData>
    <row r="2" spans="1:7" ht="12.75">
      <c r="A2" s="17" t="s">
        <v>48</v>
      </c>
      <c r="G2" s="17" t="s">
        <v>50</v>
      </c>
    </row>
    <row r="3" spans="1:7" ht="12.75">
      <c r="A3" s="17" t="s">
        <v>49</v>
      </c>
      <c r="G3" s="17" t="s">
        <v>49</v>
      </c>
    </row>
    <row r="4" spans="1:7" ht="12.75">
      <c r="A4" s="17" t="s">
        <v>22</v>
      </c>
      <c r="G4" s="17" t="s">
        <v>22</v>
      </c>
    </row>
    <row r="5" spans="1:7" ht="12.75">
      <c r="A5" s="1"/>
      <c r="G5" s="1"/>
    </row>
    <row r="6" spans="1:12" ht="12.75">
      <c r="A6" s="197" t="s">
        <v>1</v>
      </c>
      <c r="B6" s="198">
        <v>2003</v>
      </c>
      <c r="C6" s="198"/>
      <c r="D6" s="198">
        <v>2004</v>
      </c>
      <c r="E6" s="198"/>
      <c r="G6" s="197" t="s">
        <v>1</v>
      </c>
      <c r="H6" s="198">
        <v>2003</v>
      </c>
      <c r="I6" s="198"/>
      <c r="J6" s="177"/>
      <c r="K6" s="198">
        <v>2004</v>
      </c>
      <c r="L6" s="198"/>
    </row>
    <row r="7" spans="1:12" ht="38.25">
      <c r="A7" s="197"/>
      <c r="B7" s="178" t="s">
        <v>14</v>
      </c>
      <c r="C7" s="178" t="s">
        <v>24</v>
      </c>
      <c r="D7" s="178" t="s">
        <v>14</v>
      </c>
      <c r="E7" s="178" t="s">
        <v>24</v>
      </c>
      <c r="G7" s="197"/>
      <c r="H7" s="178" t="s">
        <v>14</v>
      </c>
      <c r="I7" s="178" t="s">
        <v>24</v>
      </c>
      <c r="J7" s="178" t="s">
        <v>25</v>
      </c>
      <c r="K7" s="178" t="s">
        <v>14</v>
      </c>
      <c r="L7" s="178" t="s">
        <v>24</v>
      </c>
    </row>
    <row r="8" spans="1:12" ht="12.75">
      <c r="A8" s="8" t="s">
        <v>17</v>
      </c>
      <c r="B8" s="175">
        <v>6.799359881866382</v>
      </c>
      <c r="C8" s="6">
        <f>(B$13*B8%)/(B$14*20%)</f>
        <v>250.954775315719</v>
      </c>
      <c r="D8" s="175">
        <v>6.782222632178703</v>
      </c>
      <c r="E8" s="6">
        <f>(D$13*D8%)/(D$14*20%)</f>
        <v>301.62187656133517</v>
      </c>
      <c r="G8" s="8" t="s">
        <v>17</v>
      </c>
      <c r="H8" s="175">
        <v>8.845235732761482</v>
      </c>
      <c r="I8" s="6">
        <f>(H$13*H8%)/(H$14*20%)</f>
        <v>326.4651650296849</v>
      </c>
      <c r="J8" s="6">
        <f>H15*0.194</f>
        <v>13423939.804</v>
      </c>
      <c r="K8" s="175">
        <v>9.060739180330504</v>
      </c>
      <c r="L8" s="6">
        <f>(K$13*K8%)/(K$14*20%)</f>
        <v>402.9530292381726</v>
      </c>
    </row>
    <row r="9" spans="1:12" ht="12.75">
      <c r="A9" s="8" t="s">
        <v>18</v>
      </c>
      <c r="B9" s="175">
        <v>11.241868557572051</v>
      </c>
      <c r="C9" s="6">
        <f>(B$13*B9%)/(B$14*20%)</f>
        <v>414.9214995250315</v>
      </c>
      <c r="D9" s="175">
        <v>11.55043408464847</v>
      </c>
      <c r="E9" s="6">
        <f>(D$13*D9%)/(D$14*20%)</f>
        <v>513.6757951855279</v>
      </c>
      <c r="G9" s="8" t="s">
        <v>18</v>
      </c>
      <c r="H9" s="175">
        <v>12.967167779702393</v>
      </c>
      <c r="I9" s="6">
        <f>(H$13*H9%)/(H$14*20%)</f>
        <v>478.59985839478685</v>
      </c>
      <c r="J9" s="6">
        <f>H15*0.194</f>
        <v>13423939.804</v>
      </c>
      <c r="K9" s="175">
        <v>12.94946588412893</v>
      </c>
      <c r="L9" s="6">
        <f>(K$13*K9%)/(K$14*20%)</f>
        <v>575.8941297365308</v>
      </c>
    </row>
    <row r="10" spans="1:12" ht="12.75">
      <c r="A10" s="9" t="s">
        <v>19</v>
      </c>
      <c r="B10" s="173">
        <v>15.39439789551326</v>
      </c>
      <c r="C10" s="3">
        <f>(B$13*B10%)/(B$14*20%)</f>
        <v>568.1854957100544</v>
      </c>
      <c r="D10" s="173">
        <v>15.830282944726335</v>
      </c>
      <c r="E10" s="3">
        <f>(D$13*D10%)/(D$14*20%)</f>
        <v>704.0110458231044</v>
      </c>
      <c r="G10" s="9" t="s">
        <v>19</v>
      </c>
      <c r="H10" s="173">
        <v>16.6573789626987</v>
      </c>
      <c r="I10" s="3">
        <f>(H$13*H10%)/(H$14*20%)</f>
        <v>614.8003440855355</v>
      </c>
      <c r="J10" s="3">
        <f>H15*0.201</f>
        <v>13908308.766</v>
      </c>
      <c r="K10" s="173">
        <v>17.228187804492205</v>
      </c>
      <c r="L10" s="3">
        <f>(K$13*K10%)/(K$14*20%)</f>
        <v>766.179262633962</v>
      </c>
    </row>
    <row r="11" spans="1:12" ht="12.75">
      <c r="A11" s="9" t="s">
        <v>20</v>
      </c>
      <c r="B11" s="173">
        <v>21.346555126059</v>
      </c>
      <c r="C11" s="3">
        <f>(B$13*B11%)/(B$14*20%)</f>
        <v>787.871217070257</v>
      </c>
      <c r="D11" s="173">
        <v>22.006724634711247</v>
      </c>
      <c r="E11" s="3">
        <f>(D$13*D11%)/(D$14*20%)</f>
        <v>978.692375829292</v>
      </c>
      <c r="G11" s="9" t="s">
        <v>20</v>
      </c>
      <c r="H11" s="173">
        <v>21.735224325199002</v>
      </c>
      <c r="I11" s="3">
        <f>(H$13*H11%)/(H$14*20%)</f>
        <v>802.2164485680706</v>
      </c>
      <c r="J11" s="3">
        <f>H15*0.205</f>
        <v>14185091.03</v>
      </c>
      <c r="K11" s="173">
        <v>22.732136586951555</v>
      </c>
      <c r="L11" s="3">
        <f>(K$13*K11%)/(K$14*20%)</f>
        <v>1010.9532033162329</v>
      </c>
    </row>
    <row r="12" spans="1:12" ht="12.75">
      <c r="A12" s="8" t="s">
        <v>6</v>
      </c>
      <c r="B12" s="175">
        <v>45.2178185389898</v>
      </c>
      <c r="C12" s="6">
        <f>(B$13*B12%)/(B$14*20%)</f>
        <v>1668.9258531502064</v>
      </c>
      <c r="D12" s="175">
        <v>43.83033570373518</v>
      </c>
      <c r="E12" s="6">
        <f>(D$13*D12%)/(D$14*20%)</f>
        <v>1949.2412476331638</v>
      </c>
      <c r="G12" s="8" t="s">
        <v>6</v>
      </c>
      <c r="H12" s="175">
        <v>39.79499319963842</v>
      </c>
      <c r="I12" s="6">
        <f>(H$13*H12%)/(H$14*20%)</f>
        <v>1468.7770246931723</v>
      </c>
      <c r="J12" s="6">
        <f>H15*0.206</f>
        <v>14254286.595999999</v>
      </c>
      <c r="K12" s="175">
        <v>38.02947054409681</v>
      </c>
      <c r="L12" s="6">
        <f>(K$13*K12%)/(K$14*20%)</f>
        <v>1691.262716107528</v>
      </c>
    </row>
    <row r="13" spans="1:12" ht="12.75">
      <c r="A13" s="8" t="s">
        <v>21</v>
      </c>
      <c r="B13" s="176">
        <v>12360313481</v>
      </c>
      <c r="C13" s="6"/>
      <c r="D13" s="176">
        <v>15206488646.2855</v>
      </c>
      <c r="E13" s="6"/>
      <c r="G13" s="8" t="s">
        <v>21</v>
      </c>
      <c r="H13" s="176">
        <v>12360313481</v>
      </c>
      <c r="I13" s="6"/>
      <c r="J13" s="6"/>
      <c r="K13" s="176">
        <v>15206488646.2855</v>
      </c>
      <c r="L13" s="6"/>
    </row>
    <row r="14" spans="1:12" ht="12.75">
      <c r="A14" s="9" t="s">
        <v>23</v>
      </c>
      <c r="B14" s="174">
        <v>16744495</v>
      </c>
      <c r="C14" s="3"/>
      <c r="D14" s="3">
        <v>17096537</v>
      </c>
      <c r="E14" s="3"/>
      <c r="G14" s="9" t="s">
        <v>23</v>
      </c>
      <c r="H14" s="174">
        <v>16744495</v>
      </c>
      <c r="I14" s="3"/>
      <c r="J14" s="3"/>
      <c r="K14" s="3">
        <v>17096537</v>
      </c>
      <c r="L14" s="3"/>
    </row>
    <row r="15" spans="1:12" ht="12.75">
      <c r="A15" s="9"/>
      <c r="B15" s="2"/>
      <c r="C15" s="3"/>
      <c r="D15" s="2"/>
      <c r="E15" s="3"/>
      <c r="G15" s="9" t="s">
        <v>25</v>
      </c>
      <c r="H15" s="174">
        <v>69195566</v>
      </c>
      <c r="I15" s="3"/>
      <c r="J15" s="3"/>
      <c r="K15" s="2"/>
      <c r="L15" s="3"/>
    </row>
    <row r="16" spans="1:12" ht="12.75">
      <c r="A16" s="8"/>
      <c r="B16" s="5"/>
      <c r="C16" s="6"/>
      <c r="D16" s="5"/>
      <c r="E16" s="6"/>
      <c r="G16" s="8"/>
      <c r="H16" s="5"/>
      <c r="I16" s="6"/>
      <c r="J16" s="6"/>
      <c r="K16" s="5"/>
      <c r="L16" s="6"/>
    </row>
    <row r="17" spans="1:12" ht="12.75">
      <c r="A17" s="8"/>
      <c r="B17" s="5"/>
      <c r="C17" s="6"/>
      <c r="D17" s="5"/>
      <c r="E17" s="6"/>
      <c r="G17" s="8"/>
      <c r="H17" s="5"/>
      <c r="I17" s="6"/>
      <c r="J17" s="6"/>
      <c r="K17" s="5"/>
      <c r="L17" s="6"/>
    </row>
    <row r="18" spans="1:12" ht="13.5" thickBot="1">
      <c r="A18" s="179" t="s">
        <v>15</v>
      </c>
      <c r="B18" s="12"/>
      <c r="C18" s="13">
        <f>AVERAGE(C8:C17)</f>
        <v>738.1717681542536</v>
      </c>
      <c r="D18" s="14"/>
      <c r="E18" s="13">
        <f>AVERAGE(E8:E17)</f>
        <v>889.4484682064846</v>
      </c>
      <c r="G18" s="179" t="s">
        <v>15</v>
      </c>
      <c r="H18" s="12"/>
      <c r="I18" s="13">
        <f>AVERAGE(I8:I17)</f>
        <v>738.17176815425</v>
      </c>
      <c r="J18" s="13"/>
      <c r="K18" s="14"/>
      <c r="L18" s="13">
        <f>AVERAGE(L8:L17)</f>
        <v>889.4484682064852</v>
      </c>
    </row>
    <row r="19" ht="13.5" thickTop="1"/>
  </sheetData>
  <mergeCells count="6">
    <mergeCell ref="G6:G7"/>
    <mergeCell ref="H6:I6"/>
    <mergeCell ref="K6:L6"/>
    <mergeCell ref="A6:A7"/>
    <mergeCell ref="B6:C6"/>
    <mergeCell ref="D6:E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G1">
      <selection activeCell="J12" sqref="J12:J15"/>
    </sheetView>
  </sheetViews>
  <sheetFormatPr defaultColWidth="9.140625" defaultRowHeight="12.75"/>
  <cols>
    <col min="1" max="2" width="15.00390625" style="24" customWidth="1"/>
    <col min="3" max="3" width="17.7109375" style="24" customWidth="1"/>
    <col min="4" max="4" width="8.00390625" style="24" customWidth="1"/>
    <col min="5" max="5" width="15.00390625" style="24" customWidth="1"/>
    <col min="6" max="6" width="18.57421875" style="24" customWidth="1"/>
    <col min="7" max="7" width="7.140625" style="24" customWidth="1"/>
    <col min="8" max="8" width="15.00390625" style="24" customWidth="1"/>
    <col min="9" max="9" width="18.57421875" style="24" customWidth="1"/>
    <col min="10" max="10" width="7.28125" style="24" customWidth="1"/>
    <col min="11" max="11" width="15.140625" style="24" customWidth="1"/>
    <col min="12" max="16384" width="15.00390625" style="24" customWidth="1"/>
  </cols>
  <sheetData>
    <row r="1" ht="12.75">
      <c r="A1" s="23" t="s">
        <v>60</v>
      </c>
    </row>
    <row r="2" ht="13.5" thickBot="1"/>
    <row r="3" spans="1:11" ht="12.75">
      <c r="A3" s="211" t="s">
        <v>1</v>
      </c>
      <c r="B3" s="203">
        <v>2002</v>
      </c>
      <c r="C3" s="203"/>
      <c r="D3" s="204"/>
      <c r="E3" s="203">
        <v>2003</v>
      </c>
      <c r="F3" s="203"/>
      <c r="G3" s="204"/>
      <c r="H3" s="202">
        <v>2004</v>
      </c>
      <c r="I3" s="203"/>
      <c r="J3" s="203"/>
      <c r="K3" s="204"/>
    </row>
    <row r="4" spans="1:11" s="25" customFormat="1" ht="12.75">
      <c r="A4" s="212"/>
      <c r="B4" s="215"/>
      <c r="C4" s="215"/>
      <c r="D4" s="207"/>
      <c r="E4" s="215"/>
      <c r="F4" s="215"/>
      <c r="G4" s="207"/>
      <c r="H4" s="205"/>
      <c r="I4" s="206"/>
      <c r="J4" s="206"/>
      <c r="K4" s="207"/>
    </row>
    <row r="5" spans="1:11" ht="13.5" thickBot="1">
      <c r="A5" s="212" t="s">
        <v>51</v>
      </c>
      <c r="B5" s="216"/>
      <c r="C5" s="216"/>
      <c r="D5" s="217"/>
      <c r="E5" s="216"/>
      <c r="F5" s="216"/>
      <c r="G5" s="217"/>
      <c r="H5" s="208"/>
      <c r="I5" s="209"/>
      <c r="J5" s="209"/>
      <c r="K5" s="210"/>
    </row>
    <row r="6" spans="1:11" ht="12.75" customHeight="1">
      <c r="A6" s="213"/>
      <c r="B6" s="34" t="s">
        <v>52</v>
      </c>
      <c r="C6" s="34" t="s">
        <v>53</v>
      </c>
      <c r="D6" s="35"/>
      <c r="E6" s="34" t="s">
        <v>52</v>
      </c>
      <c r="F6" s="34" t="s">
        <v>53</v>
      </c>
      <c r="G6" s="35"/>
      <c r="H6" s="34" t="s">
        <v>52</v>
      </c>
      <c r="I6" s="34" t="s">
        <v>53</v>
      </c>
      <c r="J6" s="185"/>
      <c r="K6" s="199" t="s">
        <v>62</v>
      </c>
    </row>
    <row r="7" spans="1:11" ht="12.75">
      <c r="A7" s="213"/>
      <c r="B7" s="36" t="s">
        <v>54</v>
      </c>
      <c r="C7" s="34" t="s">
        <v>55</v>
      </c>
      <c r="D7" s="37" t="s">
        <v>27</v>
      </c>
      <c r="E7" s="36" t="s">
        <v>54</v>
      </c>
      <c r="F7" s="34" t="s">
        <v>55</v>
      </c>
      <c r="G7" s="37" t="s">
        <v>27</v>
      </c>
      <c r="H7" s="36" t="s">
        <v>54</v>
      </c>
      <c r="I7" s="34" t="s">
        <v>55</v>
      </c>
      <c r="J7" s="186" t="s">
        <v>27</v>
      </c>
      <c r="K7" s="200"/>
    </row>
    <row r="8" spans="1:11" ht="12.75">
      <c r="A8" s="213"/>
      <c r="B8" s="36" t="s">
        <v>56</v>
      </c>
      <c r="C8" s="34" t="s">
        <v>57</v>
      </c>
      <c r="D8" s="38"/>
      <c r="E8" s="36" t="s">
        <v>56</v>
      </c>
      <c r="F8" s="34" t="s">
        <v>57</v>
      </c>
      <c r="G8" s="38"/>
      <c r="H8" s="36" t="s">
        <v>56</v>
      </c>
      <c r="I8" s="34" t="s">
        <v>57</v>
      </c>
      <c r="J8" s="186"/>
      <c r="K8" s="200"/>
    </row>
    <row r="9" spans="1:11" ht="21" customHeight="1" thickBot="1">
      <c r="A9" s="214"/>
      <c r="B9" s="39"/>
      <c r="C9" s="40" t="s">
        <v>58</v>
      </c>
      <c r="D9" s="41"/>
      <c r="E9" s="39"/>
      <c r="F9" s="40" t="s">
        <v>58</v>
      </c>
      <c r="G9" s="41"/>
      <c r="H9" s="39"/>
      <c r="I9" s="40" t="s">
        <v>58</v>
      </c>
      <c r="J9" s="187"/>
      <c r="K9" s="201"/>
    </row>
    <row r="10" spans="1:11" ht="12.75">
      <c r="A10" s="42"/>
      <c r="B10" s="43"/>
      <c r="C10" s="43"/>
      <c r="D10" s="44"/>
      <c r="E10" s="45"/>
      <c r="F10" s="45"/>
      <c r="G10" s="46"/>
      <c r="H10" s="45"/>
      <c r="I10" s="45"/>
      <c r="J10" s="188"/>
      <c r="K10" s="64"/>
    </row>
    <row r="11" spans="1:11" ht="12.75">
      <c r="A11" s="47" t="s">
        <v>26</v>
      </c>
      <c r="B11" s="48">
        <v>68393032</v>
      </c>
      <c r="C11" s="20">
        <v>143777133840.50702</v>
      </c>
      <c r="D11" s="49">
        <v>100</v>
      </c>
      <c r="E11" s="19">
        <f>SUM(E12:E22)</f>
        <v>69195566</v>
      </c>
      <c r="F11" s="20">
        <v>180304703754.647</v>
      </c>
      <c r="G11" s="49">
        <f aca="true" t="shared" si="0" ref="G11:G21">+F11/$F$11*100</f>
        <v>100</v>
      </c>
      <c r="H11" s="19">
        <v>70273639</v>
      </c>
      <c r="I11" s="20">
        <v>218752312150.60498</v>
      </c>
      <c r="J11" s="189">
        <f>+I11/$I$11*100</f>
        <v>100</v>
      </c>
      <c r="K11" s="69">
        <f aca="true" t="shared" si="1" ref="K11:K21">I11/H11</f>
        <v>3112.864443388295</v>
      </c>
    </row>
    <row r="12" spans="1:11" ht="12.75">
      <c r="A12" s="50" t="s">
        <v>2</v>
      </c>
      <c r="B12" s="51">
        <v>5956297.06</v>
      </c>
      <c r="C12" s="22">
        <v>2714347548.64128</v>
      </c>
      <c r="D12" s="52">
        <v>1.89</v>
      </c>
      <c r="E12" s="21">
        <v>6631204</v>
      </c>
      <c r="F12" s="22">
        <v>4082748942.37218</v>
      </c>
      <c r="G12" s="52">
        <f t="shared" si="0"/>
        <v>2.2643607500821816</v>
      </c>
      <c r="H12" s="21">
        <v>7149893</v>
      </c>
      <c r="I12" s="22">
        <v>4928669218.84349</v>
      </c>
      <c r="J12" s="191">
        <f aca="true" t="shared" si="2" ref="J12:J21">+I12/$I$11*100</f>
        <v>2.2530821139162343</v>
      </c>
      <c r="K12" s="67">
        <f t="shared" si="1"/>
        <v>689.3346821894384</v>
      </c>
    </row>
    <row r="13" spans="1:11" ht="12.75">
      <c r="A13" s="50" t="s">
        <v>3</v>
      </c>
      <c r="B13" s="51">
        <v>6217171.46</v>
      </c>
      <c r="C13" s="22">
        <v>4892053244.16405</v>
      </c>
      <c r="D13" s="52">
        <v>3.4</v>
      </c>
      <c r="E13" s="21">
        <v>6812212</v>
      </c>
      <c r="F13" s="22">
        <v>6726742832.97408</v>
      </c>
      <c r="G13" s="52">
        <f t="shared" si="0"/>
        <v>3.7307639195745117</v>
      </c>
      <c r="H13" s="21">
        <v>7006242</v>
      </c>
      <c r="I13" s="22">
        <v>8279680967.32218</v>
      </c>
      <c r="J13" s="191">
        <f t="shared" si="2"/>
        <v>3.784957007275812</v>
      </c>
      <c r="K13" s="67">
        <f t="shared" si="1"/>
        <v>1181.7577764687803</v>
      </c>
    </row>
    <row r="14" spans="1:11" ht="12.75">
      <c r="A14" s="50" t="s">
        <v>4</v>
      </c>
      <c r="B14" s="51">
        <v>6696603.35</v>
      </c>
      <c r="C14" s="22">
        <v>6392177887.55118</v>
      </c>
      <c r="D14" s="52">
        <v>4.45</v>
      </c>
      <c r="E14" s="21">
        <v>6720103</v>
      </c>
      <c r="F14" s="22">
        <v>8439488622.21143</v>
      </c>
      <c r="G14" s="52">
        <f t="shared" si="0"/>
        <v>4.680681339126694</v>
      </c>
      <c r="H14" s="21">
        <v>6669076</v>
      </c>
      <c r="I14" s="22">
        <v>10622084770.5335</v>
      </c>
      <c r="J14" s="191">
        <f t="shared" si="2"/>
        <v>4.855758856263191</v>
      </c>
      <c r="K14" s="67">
        <f t="shared" si="1"/>
        <v>1592.7371003919434</v>
      </c>
    </row>
    <row r="15" spans="1:11" ht="12.75">
      <c r="A15" s="50" t="s">
        <v>5</v>
      </c>
      <c r="B15" s="51">
        <v>6833103.64</v>
      </c>
      <c r="C15" s="22">
        <v>7712200228.35355</v>
      </c>
      <c r="D15" s="52">
        <v>5.36</v>
      </c>
      <c r="E15" s="21">
        <v>6681685</v>
      </c>
      <c r="F15" s="22">
        <v>10103393423.5785</v>
      </c>
      <c r="G15" s="52">
        <f t="shared" si="0"/>
        <v>5.603510731104875</v>
      </c>
      <c r="H15" s="21">
        <v>6985461</v>
      </c>
      <c r="I15" s="22">
        <v>12764684746.8327</v>
      </c>
      <c r="J15" s="191">
        <f t="shared" si="2"/>
        <v>5.8352227783743675</v>
      </c>
      <c r="K15" s="67">
        <f t="shared" si="1"/>
        <v>1827.3217396579412</v>
      </c>
    </row>
    <row r="16" spans="1:11" ht="12.75">
      <c r="A16" s="50" t="s">
        <v>6</v>
      </c>
      <c r="B16" s="51">
        <v>7014497.44</v>
      </c>
      <c r="C16" s="22">
        <v>9212330640.70406</v>
      </c>
      <c r="D16" s="52">
        <v>6.41</v>
      </c>
      <c r="E16" s="21">
        <v>6895936</v>
      </c>
      <c r="F16" s="22">
        <v>11950172800.4029</v>
      </c>
      <c r="G16" s="52">
        <f t="shared" si="0"/>
        <v>6.627765416849203</v>
      </c>
      <c r="H16" s="21">
        <v>6835400</v>
      </c>
      <c r="I16" s="22">
        <v>15206042322.6175</v>
      </c>
      <c r="J16" s="191">
        <f t="shared" si="2"/>
        <v>6.951260159549105</v>
      </c>
      <c r="K16" s="67">
        <f t="shared" si="1"/>
        <v>2224.6016798749893</v>
      </c>
    </row>
    <row r="17" spans="1:11" ht="12.75">
      <c r="A17" s="50" t="s">
        <v>7</v>
      </c>
      <c r="B17" s="51">
        <v>7149179.17</v>
      </c>
      <c r="C17" s="22">
        <v>10943632771.7793</v>
      </c>
      <c r="D17" s="52">
        <v>7.61</v>
      </c>
      <c r="E17" s="21">
        <v>6985357</v>
      </c>
      <c r="F17" s="22">
        <v>14143146140.7123</v>
      </c>
      <c r="G17" s="52">
        <f t="shared" si="0"/>
        <v>7.844025056583022</v>
      </c>
      <c r="H17" s="21">
        <v>7069890</v>
      </c>
      <c r="I17" s="22">
        <v>18082204247.1384</v>
      </c>
      <c r="J17" s="191">
        <f t="shared" si="2"/>
        <v>8.266063142084322</v>
      </c>
      <c r="K17" s="67">
        <f t="shared" si="1"/>
        <v>2557.6358680458115</v>
      </c>
    </row>
    <row r="18" spans="1:11" ht="12.75">
      <c r="A18" s="50" t="s">
        <v>8</v>
      </c>
      <c r="B18" s="51">
        <v>7132847.28</v>
      </c>
      <c r="C18" s="22">
        <v>13400545737.7506</v>
      </c>
      <c r="D18" s="52">
        <v>9.32</v>
      </c>
      <c r="E18" s="21">
        <v>7055362</v>
      </c>
      <c r="F18" s="22">
        <v>16956039756.1943</v>
      </c>
      <c r="G18" s="52">
        <f t="shared" si="0"/>
        <v>9.404102834315154</v>
      </c>
      <c r="H18" s="21">
        <v>7037396</v>
      </c>
      <c r="I18" s="22">
        <v>21666317437.2102</v>
      </c>
      <c r="J18" s="191">
        <f t="shared" si="2"/>
        <v>9.904497568141604</v>
      </c>
      <c r="K18" s="67">
        <f t="shared" si="1"/>
        <v>3078.7406928941045</v>
      </c>
    </row>
    <row r="19" spans="1:11" ht="12.75">
      <c r="A19" s="50" t="s">
        <v>9</v>
      </c>
      <c r="B19" s="51">
        <v>7301517</v>
      </c>
      <c r="C19" s="22">
        <v>16554990930.5003</v>
      </c>
      <c r="D19" s="52">
        <v>11.51</v>
      </c>
      <c r="E19" s="21">
        <v>7155566</v>
      </c>
      <c r="F19" s="22">
        <v>20785759745.0375</v>
      </c>
      <c r="G19" s="52">
        <f t="shared" si="0"/>
        <v>11.52812950089317</v>
      </c>
      <c r="H19" s="21">
        <v>7212495</v>
      </c>
      <c r="I19" s="22">
        <v>26201103669.9264</v>
      </c>
      <c r="J19" s="191">
        <f t="shared" si="2"/>
        <v>11.97752079159175</v>
      </c>
      <c r="K19" s="67">
        <f t="shared" si="1"/>
        <v>3632.7378625463725</v>
      </c>
    </row>
    <row r="20" spans="1:11" ht="12.75">
      <c r="A20" s="50" t="s">
        <v>10</v>
      </c>
      <c r="B20" s="51">
        <v>7021327.23</v>
      </c>
      <c r="C20" s="22">
        <v>22263729091.6089</v>
      </c>
      <c r="D20" s="52">
        <v>15.48</v>
      </c>
      <c r="E20" s="21">
        <v>7249630</v>
      </c>
      <c r="F20" s="22">
        <v>27310505764.5514</v>
      </c>
      <c r="G20" s="52">
        <f t="shared" si="0"/>
        <v>15.146862614141604</v>
      </c>
      <c r="H20" s="21">
        <v>7272614</v>
      </c>
      <c r="I20" s="22">
        <v>33431615311.5633</v>
      </c>
      <c r="J20" s="191">
        <f t="shared" si="2"/>
        <v>15.282862605148853</v>
      </c>
      <c r="K20" s="67">
        <f t="shared" si="1"/>
        <v>4596.918702348743</v>
      </c>
    </row>
    <row r="21" spans="1:11" ht="12.75">
      <c r="A21" s="50" t="s">
        <v>11</v>
      </c>
      <c r="B21" s="51">
        <v>7070488.38</v>
      </c>
      <c r="C21" s="22">
        <v>49691125759.454094</v>
      </c>
      <c r="D21" s="52">
        <v>34.56</v>
      </c>
      <c r="E21" s="21">
        <v>7008511</v>
      </c>
      <c r="F21" s="22">
        <v>59806705726.612</v>
      </c>
      <c r="G21" s="52">
        <f t="shared" si="0"/>
        <v>33.16979783732935</v>
      </c>
      <c r="H21" s="21">
        <v>7035171</v>
      </c>
      <c r="I21" s="22">
        <v>67569909458.617294</v>
      </c>
      <c r="J21" s="191">
        <f t="shared" si="2"/>
        <v>30.888774977654755</v>
      </c>
      <c r="K21" s="67">
        <f t="shared" si="1"/>
        <v>9604.586648798913</v>
      </c>
    </row>
    <row r="22" spans="1:11" ht="13.5" thickBot="1">
      <c r="A22" s="53"/>
      <c r="B22" s="54"/>
      <c r="C22" s="55"/>
      <c r="D22" s="56"/>
      <c r="E22" s="57"/>
      <c r="F22" s="57"/>
      <c r="G22" s="58"/>
      <c r="H22" s="57"/>
      <c r="I22" s="57"/>
      <c r="J22" s="190"/>
      <c r="K22" s="68"/>
    </row>
    <row r="23" spans="1:10" ht="12.75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2.75">
      <c r="A24" s="61" t="s">
        <v>59</v>
      </c>
      <c r="B24" s="59"/>
      <c r="C24" s="59"/>
      <c r="D24" s="59"/>
      <c r="E24" s="59"/>
      <c r="F24" s="59"/>
      <c r="G24" s="59"/>
      <c r="I24" s="60"/>
      <c r="J24" s="60"/>
    </row>
  </sheetData>
  <mergeCells count="5">
    <mergeCell ref="K6:K9"/>
    <mergeCell ref="H3:K5"/>
    <mergeCell ref="A3:A9"/>
    <mergeCell ref="B3:D5"/>
    <mergeCell ref="E3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E30" sqref="E30"/>
    </sheetView>
  </sheetViews>
  <sheetFormatPr defaultColWidth="9.140625" defaultRowHeight="12.75"/>
  <cols>
    <col min="1" max="1" width="18.7109375" style="0" customWidth="1"/>
    <col min="2" max="2" width="9.8515625" style="0" customWidth="1"/>
    <col min="5" max="5" width="17.00390625" style="0" customWidth="1"/>
    <col min="6" max="6" width="14.28125" style="0" customWidth="1"/>
    <col min="8" max="8" width="5.28125" style="0" customWidth="1"/>
    <col min="9" max="9" width="40.421875" style="0" customWidth="1"/>
    <col min="10" max="10" width="8.00390625" style="0" customWidth="1"/>
  </cols>
  <sheetData>
    <row r="2" ht="12.75">
      <c r="A2" s="26" t="s">
        <v>142</v>
      </c>
    </row>
    <row r="3" ht="13.5" thickBot="1">
      <c r="A3" s="26"/>
    </row>
    <row r="4" spans="1:10" ht="20.25" customHeight="1">
      <c r="A4" s="111" t="s">
        <v>132</v>
      </c>
      <c r="B4" s="112" t="s">
        <v>130</v>
      </c>
      <c r="C4" s="110" t="s">
        <v>128</v>
      </c>
      <c r="E4" s="108" t="s">
        <v>132</v>
      </c>
      <c r="F4" s="109" t="s">
        <v>128</v>
      </c>
      <c r="I4" s="108" t="s">
        <v>132</v>
      </c>
      <c r="J4" s="109" t="s">
        <v>130</v>
      </c>
    </row>
    <row r="5" spans="1:6" ht="12.75" customHeight="1">
      <c r="A5" s="96" t="s">
        <v>104</v>
      </c>
      <c r="B5" s="97">
        <v>558</v>
      </c>
      <c r="C5" s="103">
        <v>538</v>
      </c>
      <c r="E5" s="83" t="s">
        <v>95</v>
      </c>
      <c r="F5" s="91">
        <v>548.22500161</v>
      </c>
    </row>
    <row r="6" spans="1:6" ht="12.75">
      <c r="A6" s="98" t="s">
        <v>118</v>
      </c>
      <c r="B6" s="84">
        <v>556</v>
      </c>
      <c r="C6" s="104">
        <v>539</v>
      </c>
      <c r="E6" s="89" t="s">
        <v>103</v>
      </c>
      <c r="F6" s="92">
        <v>547.63823436</v>
      </c>
    </row>
    <row r="7" spans="1:6" ht="12.75">
      <c r="A7" s="99" t="s">
        <v>103</v>
      </c>
      <c r="B7" s="90">
        <v>552</v>
      </c>
      <c r="C7" s="105">
        <v>548</v>
      </c>
      <c r="E7" s="83" t="s">
        <v>118</v>
      </c>
      <c r="F7" s="92">
        <v>539.49751707</v>
      </c>
    </row>
    <row r="8" spans="1:6" ht="12.75">
      <c r="A8" s="98" t="s">
        <v>91</v>
      </c>
      <c r="B8" s="84">
        <v>516</v>
      </c>
      <c r="C8" s="105">
        <v>509</v>
      </c>
      <c r="E8" s="83" t="s">
        <v>104</v>
      </c>
      <c r="F8" s="92">
        <v>538.42510637</v>
      </c>
    </row>
    <row r="9" spans="1:6" ht="12.75">
      <c r="A9" s="98" t="s">
        <v>107</v>
      </c>
      <c r="B9" s="84">
        <v>536</v>
      </c>
      <c r="C9" s="104">
        <v>524</v>
      </c>
      <c r="E9" s="83" t="s">
        <v>121</v>
      </c>
      <c r="F9" s="92">
        <v>525.1754095</v>
      </c>
    </row>
    <row r="10" spans="1:6" ht="12.75">
      <c r="A10" s="98" t="s">
        <v>99</v>
      </c>
      <c r="B10" s="84">
        <v>543</v>
      </c>
      <c r="C10" s="105">
        <v>503</v>
      </c>
      <c r="E10" s="83" t="s">
        <v>89</v>
      </c>
      <c r="F10" s="92">
        <v>525.05449901</v>
      </c>
    </row>
    <row r="11" spans="1:6" ht="12.75">
      <c r="A11" s="98" t="s">
        <v>112</v>
      </c>
      <c r="B11" s="84">
        <v>517</v>
      </c>
      <c r="C11" s="105">
        <v>495</v>
      </c>
      <c r="E11" s="83" t="s">
        <v>122</v>
      </c>
      <c r="F11" s="92">
        <v>524.68368817</v>
      </c>
    </row>
    <row r="12" spans="1:6" ht="12.75">
      <c r="A12" s="98" t="s">
        <v>120</v>
      </c>
      <c r="B12" s="84">
        <v>512</v>
      </c>
      <c r="C12" s="105">
        <v>489</v>
      </c>
      <c r="E12" s="83" t="s">
        <v>107</v>
      </c>
      <c r="F12" s="92">
        <v>524.36870636</v>
      </c>
    </row>
    <row r="13" spans="1:6" ht="12.75">
      <c r="A13" s="98" t="s">
        <v>123</v>
      </c>
      <c r="B13" s="84">
        <v>514</v>
      </c>
      <c r="C13" s="104">
        <v>489</v>
      </c>
      <c r="E13" s="83" t="s">
        <v>93</v>
      </c>
      <c r="F13" s="92">
        <v>523.2537295</v>
      </c>
    </row>
    <row r="14" spans="1:6" ht="12.75">
      <c r="A14" s="98" t="s">
        <v>89</v>
      </c>
      <c r="B14" s="84">
        <v>527</v>
      </c>
      <c r="C14" s="104">
        <v>525</v>
      </c>
      <c r="E14" s="83" t="s">
        <v>108</v>
      </c>
      <c r="F14" s="91">
        <v>520.9042747</v>
      </c>
    </row>
    <row r="15" spans="1:6" ht="12.75">
      <c r="A15" s="98" t="s">
        <v>116</v>
      </c>
      <c r="B15" s="84">
        <v>527</v>
      </c>
      <c r="C15" s="105">
        <v>491</v>
      </c>
      <c r="E15" s="83" t="s">
        <v>92</v>
      </c>
      <c r="F15" s="92">
        <v>518.74516355</v>
      </c>
    </row>
    <row r="16" spans="1:8" ht="12.75" customHeight="1">
      <c r="A16" s="98" t="s">
        <v>114</v>
      </c>
      <c r="B16" s="84">
        <v>524</v>
      </c>
      <c r="C16" s="104">
        <v>506</v>
      </c>
      <c r="E16" s="83" t="s">
        <v>115</v>
      </c>
      <c r="F16" s="91">
        <v>512.97553413</v>
      </c>
      <c r="G16" s="107"/>
      <c r="H16" s="107"/>
    </row>
    <row r="17" spans="1:6" ht="12.75">
      <c r="A17" s="98" t="s">
        <v>108</v>
      </c>
      <c r="B17" s="84">
        <v>520</v>
      </c>
      <c r="C17" s="105">
        <v>521</v>
      </c>
      <c r="E17" s="83" t="s">
        <v>96</v>
      </c>
      <c r="F17" s="91">
        <v>511.22545748</v>
      </c>
    </row>
    <row r="18" spans="1:6" ht="12.75">
      <c r="A18" s="100" t="s">
        <v>102</v>
      </c>
      <c r="B18" s="88">
        <v>491</v>
      </c>
      <c r="C18" s="105">
        <v>486</v>
      </c>
      <c r="E18" s="83" t="s">
        <v>91</v>
      </c>
      <c r="F18" s="91">
        <v>508.82898225</v>
      </c>
    </row>
    <row r="19" spans="1:6" ht="12.75">
      <c r="A19" s="98" t="s">
        <v>124</v>
      </c>
      <c r="B19" s="84">
        <v>468</v>
      </c>
      <c r="C19" s="105">
        <v>436</v>
      </c>
      <c r="E19" s="83" t="s">
        <v>114</v>
      </c>
      <c r="F19" s="91">
        <v>506.12409744</v>
      </c>
    </row>
    <row r="20" spans="1:6" ht="12.75">
      <c r="A20" s="98" t="s">
        <v>109</v>
      </c>
      <c r="B20" s="84">
        <v>494</v>
      </c>
      <c r="C20" s="104">
        <v>484</v>
      </c>
      <c r="E20" s="83" t="s">
        <v>101</v>
      </c>
      <c r="F20" s="92">
        <v>505.39083953</v>
      </c>
    </row>
    <row r="21" spans="1:6" ht="12.75">
      <c r="A21" s="98" t="s">
        <v>119</v>
      </c>
      <c r="B21" s="84">
        <v>420</v>
      </c>
      <c r="C21" s="105">
        <v>395</v>
      </c>
      <c r="E21" s="83" t="s">
        <v>99</v>
      </c>
      <c r="F21" s="92">
        <v>503.27886546</v>
      </c>
    </row>
    <row r="22" spans="1:6" ht="12.75">
      <c r="A22" s="101" t="s">
        <v>126</v>
      </c>
      <c r="B22" s="102">
        <v>404</v>
      </c>
      <c r="C22" s="106">
        <v>385</v>
      </c>
      <c r="E22" s="83" t="s">
        <v>97</v>
      </c>
      <c r="F22" s="92">
        <v>502.33647629</v>
      </c>
    </row>
    <row r="23" spans="1:6" ht="12.75">
      <c r="A23" t="s">
        <v>140</v>
      </c>
      <c r="E23" s="120" t="s">
        <v>139</v>
      </c>
      <c r="F23" s="121">
        <v>499.61185883</v>
      </c>
    </row>
    <row r="24" spans="5:6" ht="12.75">
      <c r="E24" s="83" t="s">
        <v>110</v>
      </c>
      <c r="F24" s="91">
        <v>497.780127</v>
      </c>
    </row>
    <row r="25" spans="1:6" ht="12.75">
      <c r="A25" t="s">
        <v>129</v>
      </c>
      <c r="C25" s="71">
        <f>CORREL(B5:B22,C5:C22)</f>
        <v>0.9665606384911013</v>
      </c>
      <c r="E25" s="83" t="s">
        <v>112</v>
      </c>
      <c r="F25" s="92">
        <v>494.85838344</v>
      </c>
    </row>
    <row r="26" spans="3:6" ht="12.75">
      <c r="C26" s="71"/>
      <c r="E26" s="87" t="s">
        <v>100</v>
      </c>
      <c r="F26" s="92">
        <v>494.74524952</v>
      </c>
    </row>
    <row r="27" spans="1:6" ht="12.75">
      <c r="A27" s="117" t="s">
        <v>138</v>
      </c>
      <c r="B27" s="118"/>
      <c r="C27" s="117">
        <f>AVERAGE(C5:C22)/AVERAGE(B5:B22)</f>
        <v>0.965573591894542</v>
      </c>
      <c r="E27" s="83" t="s">
        <v>116</v>
      </c>
      <c r="F27" s="92">
        <v>491.26346276</v>
      </c>
    </row>
    <row r="28" spans="5:9" ht="12.75">
      <c r="E28" s="83" t="s">
        <v>90</v>
      </c>
      <c r="F28" s="91">
        <v>490.98460351</v>
      </c>
      <c r="I28" s="119"/>
    </row>
    <row r="29" spans="1:6" ht="12.75">
      <c r="A29" s="111"/>
      <c r="B29" s="112" t="s">
        <v>130</v>
      </c>
      <c r="C29" s="110" t="s">
        <v>133</v>
      </c>
      <c r="E29" s="83" t="s">
        <v>123</v>
      </c>
      <c r="F29" s="92">
        <v>489.28612703</v>
      </c>
    </row>
    <row r="30" spans="1:11" ht="12.75">
      <c r="A30" s="115" t="s">
        <v>37</v>
      </c>
      <c r="B30" s="114">
        <v>461</v>
      </c>
      <c r="C30" s="113">
        <f>B30*C27</f>
        <v>445.12942586338386</v>
      </c>
      <c r="E30" s="83" t="s">
        <v>120</v>
      </c>
      <c r="F30" s="92">
        <v>489.12491714</v>
      </c>
      <c r="H30" s="123"/>
      <c r="K30" s="18"/>
    </row>
    <row r="31" spans="1:6" ht="12.75">
      <c r="A31" t="s">
        <v>134</v>
      </c>
      <c r="E31" s="83" t="s">
        <v>113</v>
      </c>
      <c r="F31" s="92">
        <v>487.09256947</v>
      </c>
    </row>
    <row r="32" spans="1:6" ht="12.75">
      <c r="A32" t="s">
        <v>135</v>
      </c>
      <c r="E32" s="87" t="s">
        <v>102</v>
      </c>
      <c r="F32" s="92">
        <v>486.45421372</v>
      </c>
    </row>
    <row r="33" spans="5:6" ht="12.75">
      <c r="E33" s="83" t="s">
        <v>109</v>
      </c>
      <c r="F33" s="92">
        <v>484.1812491</v>
      </c>
    </row>
    <row r="34" spans="5:6" ht="12.75">
      <c r="E34" s="83" t="s">
        <v>105</v>
      </c>
      <c r="F34" s="91">
        <v>482.76399701</v>
      </c>
    </row>
    <row r="35" spans="5:6" ht="12.75">
      <c r="E35" s="83" t="s">
        <v>98</v>
      </c>
      <c r="F35" s="91">
        <v>481.02226503</v>
      </c>
    </row>
    <row r="36" spans="5:11" ht="12.75">
      <c r="E36" s="83" t="s">
        <v>94</v>
      </c>
      <c r="F36" s="92">
        <v>475.22267052</v>
      </c>
      <c r="H36" s="119"/>
      <c r="K36" s="119"/>
    </row>
    <row r="37" spans="5:6" ht="12.75">
      <c r="E37" s="83" t="s">
        <v>111</v>
      </c>
      <c r="F37" s="92">
        <v>467.73512135</v>
      </c>
    </row>
    <row r="38" spans="5:6" ht="12.75">
      <c r="E38" s="116" t="s">
        <v>136</v>
      </c>
      <c r="F38" s="124">
        <v>445</v>
      </c>
    </row>
    <row r="39" spans="5:6" ht="12.75">
      <c r="E39" s="83" t="s">
        <v>127</v>
      </c>
      <c r="F39" s="122">
        <v>438.37301269</v>
      </c>
    </row>
    <row r="40" spans="5:6" ht="12.75">
      <c r="E40" s="83" t="s">
        <v>124</v>
      </c>
      <c r="F40" s="91">
        <v>436.37369565</v>
      </c>
    </row>
    <row r="41" spans="5:6" ht="12.75">
      <c r="E41" s="83" t="s">
        <v>36</v>
      </c>
      <c r="F41" s="92">
        <v>434.22338305</v>
      </c>
    </row>
    <row r="42" spans="5:6" ht="12.75">
      <c r="E42" s="83" t="s">
        <v>125</v>
      </c>
      <c r="F42" s="92">
        <v>429.06037812</v>
      </c>
    </row>
    <row r="43" spans="5:6" ht="12.75">
      <c r="E43" s="83" t="s">
        <v>106</v>
      </c>
      <c r="F43" s="92">
        <v>404.89616731</v>
      </c>
    </row>
    <row r="44" spans="5:6" ht="12.75">
      <c r="E44" s="83" t="s">
        <v>119</v>
      </c>
      <c r="F44" s="91">
        <v>395.04239001</v>
      </c>
    </row>
    <row r="45" spans="5:6" ht="12.75">
      <c r="E45" s="83" t="s">
        <v>117</v>
      </c>
      <c r="F45" s="92">
        <v>389.61963651</v>
      </c>
    </row>
    <row r="46" spans="5:6" ht="12.75">
      <c r="E46" s="83" t="s">
        <v>126</v>
      </c>
      <c r="F46" s="92">
        <v>384.67942193</v>
      </c>
    </row>
    <row r="56" ht="12.75">
      <c r="I56" t="s">
        <v>141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6">
      <selection activeCell="E35" sqref="E35"/>
    </sheetView>
  </sheetViews>
  <sheetFormatPr defaultColWidth="9.140625" defaultRowHeight="12.75"/>
  <cols>
    <col min="1" max="1" width="18.7109375" style="0" customWidth="1"/>
    <col min="2" max="2" width="9.8515625" style="0" customWidth="1"/>
    <col min="5" max="5" width="17.00390625" style="0" bestFit="1" customWidth="1"/>
    <col min="6" max="6" width="14.28125" style="0" customWidth="1"/>
    <col min="8" max="8" width="5.28125" style="0" customWidth="1"/>
    <col min="9" max="9" width="40.421875" style="0" customWidth="1"/>
    <col min="10" max="10" width="8.00390625" style="0" customWidth="1"/>
  </cols>
  <sheetData>
    <row r="2" ht="12.75">
      <c r="A2" s="26" t="s">
        <v>131</v>
      </c>
    </row>
    <row r="3" ht="13.5" thickBot="1">
      <c r="A3" s="26"/>
    </row>
    <row r="4" spans="1:10" ht="20.25" customHeight="1">
      <c r="A4" s="111" t="s">
        <v>132</v>
      </c>
      <c r="B4" s="112" t="s">
        <v>130</v>
      </c>
      <c r="C4" s="110" t="s">
        <v>128</v>
      </c>
      <c r="E4" s="108" t="s">
        <v>132</v>
      </c>
      <c r="F4" s="109" t="s">
        <v>128</v>
      </c>
      <c r="I4" s="108" t="s">
        <v>132</v>
      </c>
      <c r="J4" s="109" t="s">
        <v>130</v>
      </c>
    </row>
    <row r="5" spans="1:6" ht="12.75" customHeight="1">
      <c r="A5" s="96" t="s">
        <v>104</v>
      </c>
      <c r="B5" s="97">
        <v>589</v>
      </c>
      <c r="C5" s="103">
        <v>537.19428485</v>
      </c>
      <c r="E5" s="83" t="s">
        <v>95</v>
      </c>
      <c r="F5" s="85">
        <v>548.51167082</v>
      </c>
    </row>
    <row r="6" spans="1:6" ht="12.75">
      <c r="A6" s="98" t="s">
        <v>118</v>
      </c>
      <c r="B6" s="84">
        <v>586</v>
      </c>
      <c r="C6" s="104">
        <v>545.17480614</v>
      </c>
      <c r="E6" s="83" t="s">
        <v>118</v>
      </c>
      <c r="F6" s="85">
        <v>545.17480614</v>
      </c>
    </row>
    <row r="7" spans="1:6" ht="12.75">
      <c r="A7" s="99" t="s">
        <v>103</v>
      </c>
      <c r="B7" s="90">
        <v>570</v>
      </c>
      <c r="C7" s="105">
        <v>526.61778852</v>
      </c>
      <c r="E7" s="83" t="s">
        <v>104</v>
      </c>
      <c r="F7" s="85">
        <v>537.19428485</v>
      </c>
    </row>
    <row r="8" spans="1:6" ht="12.75">
      <c r="A8" s="98" t="s">
        <v>91</v>
      </c>
      <c r="B8" s="84">
        <v>537</v>
      </c>
      <c r="C8" s="105">
        <v>529.61707139</v>
      </c>
      <c r="E8" s="83" t="s">
        <v>121</v>
      </c>
      <c r="F8" s="86">
        <v>533.54955438</v>
      </c>
    </row>
    <row r="9" spans="1:6" ht="12.75">
      <c r="A9" s="98" t="s">
        <v>107</v>
      </c>
      <c r="B9" s="84">
        <v>536</v>
      </c>
      <c r="C9" s="104">
        <v>528.2649233</v>
      </c>
      <c r="E9" s="83" t="s">
        <v>122</v>
      </c>
      <c r="F9" s="86">
        <v>532.97756987</v>
      </c>
    </row>
    <row r="10" spans="1:6" ht="12.75">
      <c r="A10" s="98" t="s">
        <v>99</v>
      </c>
      <c r="B10" s="84">
        <v>529</v>
      </c>
      <c r="C10" s="105">
        <v>496.31194195</v>
      </c>
      <c r="E10" s="83" t="s">
        <v>115</v>
      </c>
      <c r="F10" s="86">
        <v>532.6465158</v>
      </c>
    </row>
    <row r="11" spans="1:6" ht="12.75">
      <c r="A11" s="98" t="s">
        <v>112</v>
      </c>
      <c r="B11" s="84">
        <v>508</v>
      </c>
      <c r="C11" s="105">
        <v>512.51177437</v>
      </c>
      <c r="E11" s="83" t="s">
        <v>91</v>
      </c>
      <c r="F11" s="86">
        <v>529.61707139</v>
      </c>
    </row>
    <row r="12" spans="1:6" ht="12.75">
      <c r="A12" s="98" t="s">
        <v>120</v>
      </c>
      <c r="B12" s="84">
        <v>508</v>
      </c>
      <c r="C12" s="105">
        <v>481.70839742</v>
      </c>
      <c r="E12" s="83" t="s">
        <v>107</v>
      </c>
      <c r="F12" s="85">
        <v>528.2649233</v>
      </c>
    </row>
    <row r="13" spans="1:6" ht="12.75">
      <c r="A13" s="98" t="s">
        <v>123</v>
      </c>
      <c r="B13" s="84">
        <v>508</v>
      </c>
      <c r="C13" s="104">
        <v>472.44829943</v>
      </c>
      <c r="E13" s="83" t="s">
        <v>92</v>
      </c>
      <c r="F13" s="86">
        <v>528.07642804</v>
      </c>
    </row>
    <row r="14" spans="1:6" ht="12.75">
      <c r="A14" s="98" t="s">
        <v>89</v>
      </c>
      <c r="B14" s="84">
        <v>505</v>
      </c>
      <c r="C14" s="104">
        <v>516.9419266</v>
      </c>
      <c r="E14" s="83" t="s">
        <v>93</v>
      </c>
      <c r="F14" s="86">
        <v>527.99916389</v>
      </c>
    </row>
    <row r="15" spans="1:6" ht="12.75">
      <c r="A15" s="98" t="s">
        <v>116</v>
      </c>
      <c r="B15" s="84">
        <v>504</v>
      </c>
      <c r="C15" s="105">
        <v>476.42340505</v>
      </c>
      <c r="E15" s="89" t="s">
        <v>103</v>
      </c>
      <c r="F15" s="86">
        <v>526.61778852</v>
      </c>
    </row>
    <row r="16" spans="1:8" ht="12.75" customHeight="1">
      <c r="A16" s="98" t="s">
        <v>114</v>
      </c>
      <c r="B16" s="84">
        <v>499</v>
      </c>
      <c r="C16" s="104">
        <v>513.55637304</v>
      </c>
      <c r="E16" s="83" t="s">
        <v>89</v>
      </c>
      <c r="F16" s="85">
        <v>516.9419266</v>
      </c>
      <c r="G16" s="107"/>
      <c r="H16" s="107"/>
    </row>
    <row r="17" spans="1:6" ht="12.75">
      <c r="A17" s="98" t="s">
        <v>108</v>
      </c>
      <c r="B17" s="84">
        <v>494</v>
      </c>
      <c r="C17" s="105">
        <v>511.0966366</v>
      </c>
      <c r="E17" s="83" t="s">
        <v>94</v>
      </c>
      <c r="F17" s="85">
        <v>515.56351425</v>
      </c>
    </row>
    <row r="18" spans="1:6" ht="12.75">
      <c r="A18" s="100" t="s">
        <v>102</v>
      </c>
      <c r="B18" s="88">
        <v>484</v>
      </c>
      <c r="C18" s="105">
        <v>474.80869969</v>
      </c>
      <c r="E18" s="83" t="s">
        <v>97</v>
      </c>
      <c r="F18" s="85">
        <v>513.75691851</v>
      </c>
    </row>
    <row r="19" spans="1:6" ht="12.75">
      <c r="A19" s="98" t="s">
        <v>124</v>
      </c>
      <c r="B19" s="84">
        <v>477</v>
      </c>
      <c r="C19" s="105">
        <v>456.33755757</v>
      </c>
      <c r="E19" s="83" t="s">
        <v>114</v>
      </c>
      <c r="F19" s="85">
        <v>513.55637304</v>
      </c>
    </row>
    <row r="20" spans="1:6" ht="12.75">
      <c r="A20" s="98" t="s">
        <v>109</v>
      </c>
      <c r="B20" s="84">
        <v>461</v>
      </c>
      <c r="C20" s="104">
        <v>494.17636427</v>
      </c>
      <c r="E20" s="87" t="s">
        <v>100</v>
      </c>
      <c r="F20" s="86">
        <v>513.34353695</v>
      </c>
    </row>
    <row r="21" spans="1:6" ht="12.75">
      <c r="A21" s="98" t="s">
        <v>119</v>
      </c>
      <c r="B21" s="84">
        <v>411</v>
      </c>
      <c r="C21" s="105">
        <v>357.49621235</v>
      </c>
      <c r="E21" s="83" t="s">
        <v>90</v>
      </c>
      <c r="F21" s="85">
        <v>513.15756418</v>
      </c>
    </row>
    <row r="22" spans="1:6" ht="12.75">
      <c r="A22" s="101" t="s">
        <v>126</v>
      </c>
      <c r="B22" s="102">
        <v>410</v>
      </c>
      <c r="C22" s="106">
        <v>364.35263034</v>
      </c>
      <c r="E22" s="83" t="s">
        <v>112</v>
      </c>
      <c r="F22" s="86">
        <v>512.51177437</v>
      </c>
    </row>
    <row r="23" spans="1:6" ht="12.75">
      <c r="A23" t="s">
        <v>140</v>
      </c>
      <c r="E23" s="83" t="s">
        <v>108</v>
      </c>
      <c r="F23" s="86">
        <v>511.0966366</v>
      </c>
    </row>
    <row r="24" spans="5:6" ht="12.75">
      <c r="E24" s="83" t="s">
        <v>96</v>
      </c>
      <c r="F24" s="86">
        <v>506.88336265</v>
      </c>
    </row>
    <row r="25" spans="1:6" ht="12.75">
      <c r="A25" t="s">
        <v>129</v>
      </c>
      <c r="C25" s="71">
        <f>CORREL(B5:B22,C5:C22)</f>
        <v>0.8706429284239097</v>
      </c>
      <c r="E25" s="83" t="s">
        <v>101</v>
      </c>
      <c r="F25" s="86">
        <v>501.68299725</v>
      </c>
    </row>
    <row r="26" spans="3:6" ht="12.75">
      <c r="C26" s="71"/>
      <c r="E26" s="83" t="s">
        <v>105</v>
      </c>
      <c r="F26" s="86">
        <v>501.49627472</v>
      </c>
    </row>
    <row r="27" spans="1:6" ht="12.75">
      <c r="A27" s="117" t="s">
        <v>138</v>
      </c>
      <c r="B27" s="118"/>
      <c r="C27" s="117">
        <f>AVERAGE(C5:C22)/AVERAGE(B5:B22)</f>
        <v>0.9647914757437472</v>
      </c>
      <c r="E27" s="93" t="s">
        <v>139</v>
      </c>
      <c r="F27" s="94">
        <v>500.71863708</v>
      </c>
    </row>
    <row r="28" spans="5:9" ht="12.75">
      <c r="E28" s="83" t="s">
        <v>99</v>
      </c>
      <c r="F28" s="86">
        <v>496.31194195</v>
      </c>
      <c r="I28" s="119"/>
    </row>
    <row r="29" spans="1:6" ht="12.75">
      <c r="A29" s="111"/>
      <c r="B29" s="112" t="s">
        <v>130</v>
      </c>
      <c r="C29" s="110" t="s">
        <v>133</v>
      </c>
      <c r="E29" s="83" t="s">
        <v>109</v>
      </c>
      <c r="F29" s="85">
        <v>494.17636427</v>
      </c>
    </row>
    <row r="30" spans="1:11" ht="12.75">
      <c r="A30" s="115" t="s">
        <v>37</v>
      </c>
      <c r="B30" s="114">
        <v>478</v>
      </c>
      <c r="C30" s="113">
        <f>B30*C27</f>
        <v>461.17032540551116</v>
      </c>
      <c r="E30" s="83" t="s">
        <v>113</v>
      </c>
      <c r="F30" s="91">
        <v>492.34888029</v>
      </c>
      <c r="H30" s="119"/>
      <c r="K30" s="119"/>
    </row>
    <row r="31" spans="1:6" ht="12.75">
      <c r="A31" t="s">
        <v>134</v>
      </c>
      <c r="E31" s="83" t="s">
        <v>110</v>
      </c>
      <c r="F31" s="92">
        <v>491.75248541</v>
      </c>
    </row>
    <row r="32" spans="1:6" ht="12.75">
      <c r="A32" t="s">
        <v>135</v>
      </c>
      <c r="E32" s="83" t="s">
        <v>120</v>
      </c>
      <c r="F32" s="92">
        <v>481.70839742</v>
      </c>
    </row>
    <row r="33" spans="5:6" ht="12.75">
      <c r="E33" s="83" t="s">
        <v>116</v>
      </c>
      <c r="F33" s="86">
        <v>476.42340505</v>
      </c>
    </row>
    <row r="34" spans="5:6" ht="12.75">
      <c r="E34" s="87" t="s">
        <v>102</v>
      </c>
      <c r="F34" s="86">
        <v>474.80869969</v>
      </c>
    </row>
    <row r="35" spans="5:6" ht="12.75">
      <c r="E35" s="83" t="s">
        <v>123</v>
      </c>
      <c r="F35" s="85">
        <v>472.44829943</v>
      </c>
    </row>
    <row r="36" spans="5:6" ht="12.75">
      <c r="E36" s="83" t="s">
        <v>111</v>
      </c>
      <c r="F36" s="86">
        <v>465.44492272</v>
      </c>
    </row>
    <row r="37" spans="5:6" ht="12.75">
      <c r="E37" s="116" t="s">
        <v>136</v>
      </c>
      <c r="F37" s="124">
        <v>461</v>
      </c>
    </row>
    <row r="38" spans="5:6" ht="12.75">
      <c r="E38" s="83" t="s">
        <v>124</v>
      </c>
      <c r="F38" s="86">
        <v>456.33755757</v>
      </c>
    </row>
    <row r="39" spans="5:6" ht="12.75">
      <c r="E39" s="83" t="s">
        <v>98</v>
      </c>
      <c r="F39" s="86">
        <v>445.92113705</v>
      </c>
    </row>
    <row r="40" spans="5:6" ht="12.75">
      <c r="E40" s="83" t="s">
        <v>127</v>
      </c>
      <c r="F40" s="95">
        <v>429.6990503</v>
      </c>
    </row>
    <row r="41" spans="5:6" ht="12.75">
      <c r="E41" s="83" t="s">
        <v>125</v>
      </c>
      <c r="F41" s="86">
        <v>414.8047822</v>
      </c>
    </row>
    <row r="42" spans="5:6" ht="12.75">
      <c r="E42" s="83" t="s">
        <v>36</v>
      </c>
      <c r="F42" s="85">
        <v>413.18851266</v>
      </c>
    </row>
    <row r="43" spans="5:6" ht="12.75">
      <c r="E43" s="83" t="s">
        <v>106</v>
      </c>
      <c r="F43" s="86">
        <v>393.78987697</v>
      </c>
    </row>
    <row r="44" spans="5:6" ht="12.75">
      <c r="E44" s="83" t="s">
        <v>126</v>
      </c>
      <c r="F44" s="95">
        <v>364.35263034</v>
      </c>
    </row>
    <row r="45" spans="5:6" ht="12.75">
      <c r="E45" s="83" t="s">
        <v>117</v>
      </c>
      <c r="F45" s="86">
        <v>359.9491355</v>
      </c>
    </row>
    <row r="46" spans="5:6" ht="12.75">
      <c r="E46" s="83" t="s">
        <v>119</v>
      </c>
      <c r="F46" s="86">
        <v>357.49621235</v>
      </c>
    </row>
    <row r="47" ht="12.75">
      <c r="E47" t="s">
        <v>137</v>
      </c>
    </row>
    <row r="55" ht="12.75">
      <c r="I55" t="s">
        <v>141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</dc:creator>
  <cp:keywords/>
  <dc:description/>
  <cp:lastModifiedBy>Arman</cp:lastModifiedBy>
  <dcterms:created xsi:type="dcterms:W3CDTF">2006-06-02T22:26:27Z</dcterms:created>
  <dcterms:modified xsi:type="dcterms:W3CDTF">2006-06-04T01:05:17Z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